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firstSheet="6" activeTab="8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  <sheet name="BSZ2030" sheetId="9" r:id="rId9"/>
    <sheet name="BAT2030" sheetId="10" r:id="rId10"/>
    <sheet name="ICE2030" sheetId="11" r:id="rId11"/>
    <sheet name="BSZ2050" sheetId="12" r:id="rId12"/>
    <sheet name="BAT2050" sheetId="13" r:id="rId13"/>
    <sheet name="ICE2050" sheetId="14" r:id="rId14"/>
  </sheets>
  <calcPr calcId="145621"/>
</workbook>
</file>

<file path=xl/calcChain.xml><?xml version="1.0" encoding="utf-8"?>
<calcChain xmlns="http://schemas.openxmlformats.org/spreadsheetml/2006/main">
  <c r="D36" i="14" l="1"/>
  <c r="D32" i="14"/>
  <c r="D31" i="14"/>
  <c r="D30" i="14"/>
  <c r="D40" i="14"/>
  <c r="D39" i="14"/>
  <c r="D38" i="14"/>
  <c r="D37" i="14"/>
  <c r="D35" i="14"/>
  <c r="D34" i="14"/>
  <c r="D33" i="14"/>
  <c r="L29" i="14"/>
  <c r="N29" i="14" s="1"/>
  <c r="H29" i="14"/>
  <c r="D29" i="14"/>
  <c r="N28" i="14"/>
  <c r="L28" i="14"/>
  <c r="H28" i="14"/>
  <c r="D28" i="14"/>
  <c r="N27" i="14"/>
  <c r="L27" i="14"/>
  <c r="H27" i="14"/>
  <c r="D27" i="14"/>
  <c r="R26" i="14"/>
  <c r="P26" i="14"/>
  <c r="T26" i="14" s="1"/>
  <c r="L26" i="14"/>
  <c r="N26" i="14" s="1"/>
  <c r="H26" i="14"/>
  <c r="D26" i="14"/>
  <c r="P25" i="14"/>
  <c r="N25" i="14"/>
  <c r="L25" i="14"/>
  <c r="H25" i="14"/>
  <c r="D25" i="14"/>
  <c r="N24" i="14"/>
  <c r="L24" i="14"/>
  <c r="H24" i="14"/>
  <c r="D24" i="14"/>
  <c r="D23" i="14"/>
  <c r="D22" i="14"/>
  <c r="D18" i="14"/>
  <c r="D40" i="13"/>
  <c r="D39" i="13"/>
  <c r="D38" i="13"/>
  <c r="D37" i="13"/>
  <c r="D36" i="13"/>
  <c r="D35" i="13"/>
  <c r="D34" i="13"/>
  <c r="D33" i="13"/>
  <c r="D32" i="13"/>
  <c r="D31" i="13"/>
  <c r="D30" i="13"/>
  <c r="L29" i="13"/>
  <c r="N29" i="13" s="1"/>
  <c r="H29" i="13"/>
  <c r="D29" i="13"/>
  <c r="L28" i="13"/>
  <c r="N28" i="13" s="1"/>
  <c r="H28" i="13"/>
  <c r="D28" i="13"/>
  <c r="L27" i="13"/>
  <c r="N27" i="13" s="1"/>
  <c r="H27" i="13"/>
  <c r="D27" i="13"/>
  <c r="R26" i="13"/>
  <c r="P26" i="13"/>
  <c r="T26" i="13" s="1"/>
  <c r="L26" i="13"/>
  <c r="N26" i="13" s="1"/>
  <c r="H26" i="13"/>
  <c r="D26" i="13"/>
  <c r="P25" i="13"/>
  <c r="L25" i="13"/>
  <c r="N25" i="13" s="1"/>
  <c r="H25" i="13"/>
  <c r="D25" i="13"/>
  <c r="L24" i="13"/>
  <c r="N24" i="13" s="1"/>
  <c r="H24" i="13"/>
  <c r="D24" i="13"/>
  <c r="D23" i="13"/>
  <c r="D22" i="13"/>
  <c r="D18" i="13"/>
  <c r="D40" i="12"/>
  <c r="D39" i="12"/>
  <c r="D38" i="12"/>
  <c r="D37" i="12"/>
  <c r="D40" i="11"/>
  <c r="D39" i="11"/>
  <c r="D38" i="11"/>
  <c r="D37" i="11"/>
  <c r="D40" i="9"/>
  <c r="D39" i="9"/>
  <c r="D38" i="9"/>
  <c r="D37" i="9"/>
  <c r="D35" i="12"/>
  <c r="D34" i="12"/>
  <c r="D33" i="12"/>
  <c r="D32" i="12"/>
  <c r="D36" i="12"/>
  <c r="D31" i="12"/>
  <c r="D30" i="12"/>
  <c r="L29" i="12"/>
  <c r="N29" i="12" s="1"/>
  <c r="H29" i="12"/>
  <c r="D29" i="12"/>
  <c r="L28" i="12"/>
  <c r="N28" i="12" s="1"/>
  <c r="H28" i="12"/>
  <c r="D28" i="12"/>
  <c r="L27" i="12"/>
  <c r="N27" i="12" s="1"/>
  <c r="H27" i="12"/>
  <c r="D27" i="12"/>
  <c r="R26" i="12"/>
  <c r="P26" i="12"/>
  <c r="T26" i="12" s="1"/>
  <c r="L26" i="12"/>
  <c r="N26" i="12" s="1"/>
  <c r="H26" i="12"/>
  <c r="D26" i="12"/>
  <c r="P25" i="12"/>
  <c r="L25" i="12"/>
  <c r="N25" i="12" s="1"/>
  <c r="H25" i="12"/>
  <c r="D25" i="12"/>
  <c r="L24" i="12"/>
  <c r="N24" i="12" s="1"/>
  <c r="H24" i="12"/>
  <c r="D24" i="12"/>
  <c r="D23" i="12"/>
  <c r="D22" i="12"/>
  <c r="D18" i="12"/>
  <c r="D40" i="10"/>
  <c r="D39" i="10"/>
  <c r="D38" i="10"/>
  <c r="D37" i="10"/>
  <c r="D36" i="11"/>
  <c r="D35" i="11"/>
  <c r="D34" i="11"/>
  <c r="D33" i="11"/>
  <c r="D32" i="11"/>
  <c r="D31" i="11"/>
  <c r="D30" i="11"/>
  <c r="L29" i="11"/>
  <c r="N29" i="11" s="1"/>
  <c r="H29" i="11"/>
  <c r="D29" i="11"/>
  <c r="N28" i="11"/>
  <c r="L28" i="11"/>
  <c r="H28" i="11"/>
  <c r="D28" i="11"/>
  <c r="L27" i="11"/>
  <c r="N27" i="11" s="1"/>
  <c r="H27" i="11"/>
  <c r="D27" i="11"/>
  <c r="T26" i="11"/>
  <c r="R26" i="11"/>
  <c r="P26" i="11"/>
  <c r="L26" i="11"/>
  <c r="N26" i="11" s="1"/>
  <c r="H26" i="11"/>
  <c r="D26" i="11"/>
  <c r="P25" i="11"/>
  <c r="N25" i="11"/>
  <c r="L25" i="11"/>
  <c r="H25" i="11"/>
  <c r="D25" i="11"/>
  <c r="L24" i="11"/>
  <c r="N24" i="11" s="1"/>
  <c r="H24" i="11"/>
  <c r="D24" i="11"/>
  <c r="D23" i="11"/>
  <c r="D22" i="11"/>
  <c r="D18" i="11"/>
  <c r="D36" i="10"/>
  <c r="D35" i="10"/>
  <c r="D34" i="10"/>
  <c r="D33" i="10"/>
  <c r="D32" i="10"/>
  <c r="D31" i="10"/>
  <c r="D30" i="10"/>
  <c r="L29" i="10"/>
  <c r="N29" i="10" s="1"/>
  <c r="H29" i="10"/>
  <c r="D29" i="10"/>
  <c r="N28" i="10"/>
  <c r="L28" i="10"/>
  <c r="H28" i="10"/>
  <c r="D28" i="10"/>
  <c r="L27" i="10"/>
  <c r="N27" i="10" s="1"/>
  <c r="H27" i="10"/>
  <c r="D27" i="10"/>
  <c r="R26" i="10"/>
  <c r="P26" i="10"/>
  <c r="T26" i="10" s="1"/>
  <c r="N26" i="10"/>
  <c r="L26" i="10"/>
  <c r="H26" i="10"/>
  <c r="D26" i="10"/>
  <c r="P25" i="10"/>
  <c r="N25" i="10"/>
  <c r="L25" i="10"/>
  <c r="H25" i="10"/>
  <c r="D25" i="10"/>
  <c r="L24" i="10"/>
  <c r="N24" i="10" s="1"/>
  <c r="H24" i="10"/>
  <c r="D24" i="10"/>
  <c r="D23" i="10"/>
  <c r="D22" i="10"/>
  <c r="D18" i="10"/>
  <c r="D18" i="9"/>
  <c r="D29" i="9"/>
  <c r="N29" i="9"/>
  <c r="N28" i="9"/>
  <c r="L29" i="9"/>
  <c r="L28" i="9"/>
  <c r="H29" i="9"/>
  <c r="H28" i="9"/>
  <c r="D28" i="9"/>
  <c r="D23" i="9"/>
  <c r="D22" i="9"/>
  <c r="D36" i="9"/>
  <c r="D35" i="9"/>
  <c r="D34" i="9"/>
  <c r="D33" i="9"/>
  <c r="D32" i="9"/>
  <c r="D31" i="9"/>
  <c r="D30" i="9"/>
  <c r="L27" i="9"/>
  <c r="N27" i="9" s="1"/>
  <c r="H27" i="9"/>
  <c r="D27" i="9"/>
  <c r="R26" i="9"/>
  <c r="P26" i="9"/>
  <c r="T26" i="9" s="1"/>
  <c r="L26" i="9"/>
  <c r="N26" i="9" s="1"/>
  <c r="H26" i="9"/>
  <c r="D26" i="9"/>
  <c r="P25" i="9"/>
  <c r="L25" i="9"/>
  <c r="N25" i="9" s="1"/>
  <c r="H25" i="9"/>
  <c r="D25" i="9"/>
  <c r="L24" i="9"/>
  <c r="N24" i="9" s="1"/>
  <c r="H24" i="9"/>
  <c r="D24" i="9"/>
  <c r="H10" i="3" l="1"/>
  <c r="S3" i="7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2" i="7"/>
  <c r="D18" i="3"/>
  <c r="T10" i="3"/>
  <c r="R10" i="3"/>
  <c r="P10" i="3"/>
  <c r="P9" i="3"/>
  <c r="L11" i="3"/>
  <c r="N11" i="3" s="1"/>
  <c r="D11" i="3"/>
  <c r="N9" i="3"/>
  <c r="N10" i="3"/>
  <c r="N8" i="3"/>
  <c r="L10" i="3"/>
  <c r="L9" i="3"/>
  <c r="L8" i="3"/>
  <c r="D17" i="3"/>
  <c r="D16" i="3"/>
  <c r="D15" i="3"/>
  <c r="D14" i="3"/>
  <c r="D12" i="3"/>
  <c r="D13" i="3"/>
  <c r="D10" i="3"/>
  <c r="D9" i="3"/>
  <c r="D8" i="3"/>
  <c r="H9" i="3" l="1"/>
  <c r="H11" i="3"/>
  <c r="H8" i="3"/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>
  <authors>
    <author>Autor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10.xml><?xml version="1.0" encoding="utf-8"?>
<comments xmlns="http://schemas.openxmlformats.org/spreadsheetml/2006/main">
  <authors>
    <author>Autor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For hydrogen fuel transformers only
per MJ H2 or product?!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11.xml><?xml version="1.0" encoding="utf-8"?>
<comments xmlns="http://schemas.openxmlformats.org/spreadsheetml/2006/main">
  <authors>
    <author>Autor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For hydrogen fuel transformers only
per MJ H2 or product?!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For hydrogen fuel transformers only
per MJ H2 or product?!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MJ/kg
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For hydrogen fuel transformers only
per MJ H2 or product?!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7.xml><?xml version="1.0" encoding="utf-8"?>
<comments xmlns="http://schemas.openxmlformats.org/spreadsheetml/2006/main">
  <authors>
    <author>Autor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For hydrogen fuel transformers only
per MJ H2 or product?!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8.xml><?xml version="1.0" encoding="utf-8"?>
<comments xmlns="http://schemas.openxmlformats.org/spreadsheetml/2006/main">
  <authors>
    <author>Autor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For hydrogen fuel transformers only
per MJ H2 or product?!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9.xml><?xml version="1.0" encoding="utf-8"?>
<comments xmlns="http://schemas.openxmlformats.org/spreadsheetml/2006/main">
  <authors>
    <author>Autor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For hydrogen fuel transformers only
per MJ H2 or product?!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sharedStrings.xml><?xml version="1.0" encoding="utf-8"?>
<sst xmlns="http://schemas.openxmlformats.org/spreadsheetml/2006/main" count="2806" uniqueCount="903">
  <si>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</si>
  <si>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</si>
  <si>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</si>
  <si>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</si>
  <si>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</si>
  <si>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</si>
  <si>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</si>
  <si>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</si>
  <si>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</si>
  <si>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</si>
  <si>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</si>
  <si>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</si>
  <si>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</si>
  <si>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</si>
  <si>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</si>
  <si>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</si>
  <si>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</si>
  <si>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</si>
  <si>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</si>
  <si>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</si>
  <si>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</si>
  <si>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</si>
  <si>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</si>
  <si>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</si>
  <si>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</si>
  <si>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</si>
  <si>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</si>
  <si>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</si>
  <si>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</si>
  <si>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</si>
  <si>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</si>
  <si>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</si>
  <si>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</si>
  <si>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</si>
  <si>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</si>
  <si>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</si>
  <si>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</si>
  <si>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</si>
  <si>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</si>
  <si>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</si>
  <si>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</si>
  <si>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</si>
  <si>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</si>
  <si>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</si>
  <si>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</si>
  <si>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</si>
  <si>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</si>
  <si>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</si>
  <si>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</si>
  <si>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</si>
  <si>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</si>
  <si>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</si>
  <si>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</si>
  <si>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</si>
  <si>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</si>
  <si>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</si>
  <si>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</si>
  <si>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</si>
  <si>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</si>
  <si>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</si>
  <si>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</si>
  <si>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</si>
  <si>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</si>
  <si>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</si>
  <si>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</si>
  <si>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</si>
  <si>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</si>
  <si>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</si>
  <si>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</si>
  <si>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</si>
  <si>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</si>
  <si>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</si>
  <si>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</si>
  <si>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</si>
  <si>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</si>
  <si>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</si>
  <si>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</si>
  <si>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</si>
  <si>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</si>
  <si>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</si>
  <si>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</si>
  <si>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</si>
  <si>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</si>
  <si>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</si>
  <si>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</si>
  <si>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</si>
  <si>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</si>
  <si>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</si>
  <si>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</si>
  <si>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</si>
  <si>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</si>
  <si>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</si>
  <si>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</si>
  <si>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</si>
  <si>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</si>
  <si>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</si>
  <si>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</si>
  <si>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</si>
  <si>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</si>
  <si>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</si>
  <si>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</si>
  <si>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</si>
  <si>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</si>
  <si>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</si>
  <si>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</si>
  <si>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</si>
  <si>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</si>
  <si>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</si>
  <si>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</si>
  <si>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</si>
  <si>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</si>
  <si>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</si>
  <si>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</si>
  <si>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</si>
  <si>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</si>
  <si>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</si>
  <si>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</si>
  <si>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</si>
  <si>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</si>
  <si>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</si>
  <si>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</si>
  <si>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</si>
  <si>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</si>
  <si>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</si>
  <si>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</si>
  <si>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</si>
  <si>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</si>
  <si>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</si>
  <si>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</si>
  <si>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</si>
  <si>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</si>
  <si>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</si>
  <si>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</si>
  <si>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</si>
  <si>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</si>
  <si>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</si>
  <si>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</si>
  <si>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</si>
  <si>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</si>
  <si>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</si>
  <si>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</si>
  <si>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</si>
  <si>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</si>
  <si>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</si>
  <si>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</si>
  <si>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</si>
  <si>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</si>
  <si>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</si>
  <si>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</si>
  <si>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</si>
  <si>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</si>
  <si>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</si>
  <si>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</si>
  <si>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</si>
  <si>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</si>
  <si>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</si>
  <si>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</si>
  <si>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</si>
  <si>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</si>
  <si>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</si>
  <si>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</si>
  <si>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</si>
  <si>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</si>
  <si>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</si>
  <si>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</si>
  <si>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</si>
  <si>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</si>
  <si>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</si>
  <si>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</si>
  <si>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</si>
  <si>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</si>
  <si>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</si>
  <si>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</si>
  <si>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</si>
  <si>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</si>
  <si>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</si>
  <si>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</si>
  <si>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</si>
  <si>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</si>
  <si>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</si>
  <si>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</si>
  <si>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</si>
  <si>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</si>
  <si>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</si>
  <si>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</si>
  <si>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</si>
  <si>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</si>
  <si>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</si>
  <si>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</si>
  <si>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</si>
  <si>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</si>
  <si>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</si>
  <si>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</si>
  <si>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</si>
  <si>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</si>
  <si>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</si>
  <si>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</si>
  <si>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</si>
  <si>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</si>
  <si>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</si>
  <si>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</si>
  <si>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</si>
  <si>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</si>
  <si>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</si>
  <si>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</si>
  <si>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</si>
  <si>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</si>
  <si>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</si>
  <si>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</si>
  <si>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</si>
  <si>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</si>
  <si>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</si>
  <si>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</si>
  <si>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</si>
  <si>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</si>
  <si>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</si>
  <si>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</si>
  <si>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</si>
  <si>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</si>
  <si>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</si>
  <si>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</si>
  <si>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</si>
  <si>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</si>
  <si>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</si>
  <si>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</si>
  <si>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</si>
  <si>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</si>
  <si>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</si>
  <si>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</si>
  <si>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</si>
  <si>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</si>
  <si>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</si>
  <si>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</si>
  <si>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</si>
  <si>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</si>
  <si>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</si>
  <si>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</si>
  <si>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</si>
  <si>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</si>
  <si>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</si>
  <si>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</si>
  <si>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</si>
  <si>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</si>
  <si>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</si>
  <si>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</si>
  <si>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</si>
  <si>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</si>
  <si>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</si>
  <si>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</si>
  <si>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</si>
  <si>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</si>
  <si>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</si>
  <si>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</si>
  <si>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</si>
  <si>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</si>
  <si>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</si>
  <si>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</si>
  <si>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</si>
  <si>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</si>
  <si>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</si>
  <si>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</si>
  <si>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</si>
  <si>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</si>
  <si>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</si>
  <si>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</si>
  <si>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</si>
  <si>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</si>
  <si>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</si>
  <si>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</si>
  <si>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</si>
  <si>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</si>
  <si>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</si>
  <si>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</si>
  <si>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</si>
  <si>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</si>
  <si>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</si>
  <si>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</si>
  <si>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</si>
  <si>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</si>
  <si>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</si>
  <si>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</si>
  <si>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</si>
  <si>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</si>
  <si>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</si>
  <si>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</si>
  <si>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</si>
  <si>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</si>
  <si>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</si>
  <si>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</si>
  <si>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</si>
  <si>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</si>
  <si>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</si>
  <si>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</si>
  <si>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</si>
  <si>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</si>
  <si>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</si>
  <si>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</si>
  <si>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</si>
  <si>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</si>
  <si>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</si>
  <si>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</si>
  <si>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</si>
  <si>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</si>
  <si>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</si>
  <si>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</si>
  <si>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</si>
  <si>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</si>
  <si>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</si>
  <si>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</si>
  <si>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</si>
  <si>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</si>
  <si>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</si>
  <si>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</si>
  <si>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</si>
  <si>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</si>
  <si>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</si>
  <si>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</si>
  <si>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</si>
  <si>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</si>
  <si>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</si>
  <si>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</si>
  <si>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</si>
  <si>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</si>
  <si>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</si>
  <si>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</si>
  <si>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</si>
  <si>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</si>
  <si>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</si>
  <si>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</si>
  <si>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</si>
  <si>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</si>
  <si>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</si>
  <si>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</si>
  <si>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</si>
  <si>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</si>
  <si>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</si>
  <si>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</si>
  <si>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</si>
  <si>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</si>
  <si>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</si>
  <si>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</si>
  <si>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</si>
  <si>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</si>
  <si>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</si>
  <si>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</si>
  <si>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</si>
  <si>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</si>
  <si>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</si>
  <si>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</si>
  <si>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</si>
  <si>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</si>
  <si>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</si>
  <si>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</si>
  <si>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</si>
  <si>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</si>
  <si>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</si>
  <si>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</si>
  <si>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</si>
  <si>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</si>
  <si>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</si>
  <si>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</si>
  <si>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</si>
  <si>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</si>
  <si>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</si>
  <si>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</si>
  <si>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</si>
  <si>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</si>
  <si>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</si>
  <si>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</si>
  <si>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</si>
  <si>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</si>
  <si>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</si>
  <si>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</si>
  <si>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</si>
  <si>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</si>
  <si>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</si>
  <si>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</si>
  <si>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</si>
  <si>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</si>
  <si>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</si>
  <si>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</si>
  <si>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</si>
  <si>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</si>
  <si>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</si>
  <si>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</si>
  <si>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</si>
  <si>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</si>
  <si>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</si>
  <si>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</si>
  <si>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</si>
  <si>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</si>
  <si>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</si>
  <si>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</si>
  <si>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</si>
  <si>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</si>
  <si>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</si>
  <si>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</si>
  <si>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</si>
  <si>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</si>
  <si>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</si>
  <si>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</si>
  <si>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</si>
  <si>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</si>
  <si>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</si>
  <si>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</si>
  <si>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</si>
  <si>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</si>
  <si>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</si>
  <si>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</si>
  <si>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</si>
  <si>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</si>
  <si>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</si>
  <si>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</si>
  <si>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</si>
  <si>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</si>
  <si>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</si>
  <si>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</si>
  <si>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</si>
  <si>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</si>
  <si>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</si>
  <si>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</si>
  <si>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</si>
  <si>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</si>
  <si>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</si>
  <si>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</si>
  <si>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</si>
  <si>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</si>
  <si>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</si>
  <si>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</si>
  <si>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</si>
  <si>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</si>
  <si>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</si>
  <si>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</si>
  <si>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</si>
  <si>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</si>
  <si>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</si>
  <si>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</si>
  <si>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</si>
  <si>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</si>
  <si>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</si>
  <si>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</si>
  <si>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</si>
  <si>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</si>
  <si>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</si>
  <si>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</si>
  <si>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</si>
  <si>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</si>
  <si>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</si>
  <si>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</si>
  <si>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</si>
  <si>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</si>
  <si>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</si>
  <si>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</si>
  <si>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</si>
  <si>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</si>
  <si>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</si>
  <si>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</si>
  <si>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</si>
  <si>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</si>
  <si>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</si>
  <si>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</si>
  <si>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</si>
  <si>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</si>
  <si>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</si>
  <si>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</si>
  <si>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</si>
  <si>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</si>
  <si>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</si>
  <si>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</si>
  <si>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</si>
  <si>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</si>
  <si>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</si>
  <si>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</si>
  <si>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</si>
  <si>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</si>
  <si>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</si>
  <si>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</si>
  <si>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</si>
  <si>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</si>
  <si>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</si>
  <si>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</si>
  <si>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</si>
  <si>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</si>
  <si>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</si>
  <si>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</si>
  <si>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</si>
  <si>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</si>
  <si>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</si>
  <si>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</si>
  <si>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</si>
  <si>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</si>
  <si>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</si>
  <si>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</si>
  <si>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</si>
  <si>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</si>
  <si>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</si>
  <si>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</si>
  <si>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</si>
  <si>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</si>
  <si>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</si>
  <si>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</si>
  <si>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</si>
  <si>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</si>
  <si>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</si>
  <si>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</si>
  <si>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</si>
  <si>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</si>
  <si>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</si>
  <si>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</si>
  <si>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</si>
  <si>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</si>
  <si>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</si>
  <si>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</si>
  <si>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</si>
  <si>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</si>
  <si>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</si>
  <si>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</si>
  <si>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</si>
  <si>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</si>
  <si>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</si>
  <si>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</si>
  <si>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</si>
  <si>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</si>
  <si>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</si>
  <si>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</si>
  <si>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</si>
  <si>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</si>
  <si>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</si>
  <si>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</si>
  <si>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</si>
  <si>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</si>
  <si>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</si>
  <si>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</si>
  <si>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</si>
  <si>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</si>
  <si>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</si>
  <si>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</si>
  <si>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</si>
  <si>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</si>
  <si>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</si>
  <si>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</si>
  <si>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</si>
  <si>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</si>
  <si>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</si>
  <si>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</si>
  <si>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</si>
  <si>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</si>
  <si>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</si>
  <si>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</si>
  <si>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</si>
  <si>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</si>
  <si>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</si>
  <si>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</si>
  <si>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</si>
  <si>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</si>
  <si>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</si>
  <si>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</si>
  <si>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</si>
  <si>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</si>
  <si>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</si>
  <si>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</si>
  <si>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</si>
  <si>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</si>
  <si>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</si>
  <si>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</si>
  <si>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</si>
  <si>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</si>
  <si>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</si>
  <si>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</si>
  <si>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</si>
  <si>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</si>
  <si>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</si>
  <si>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</si>
  <si>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</si>
  <si>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</si>
  <si>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</si>
  <si>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</si>
  <si>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</si>
  <si>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</si>
  <si>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</si>
  <si>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</si>
  <si>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</si>
  <si>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</si>
  <si>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</si>
  <si>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</si>
  <si>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</si>
  <si>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</si>
  <si>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</si>
  <si>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</si>
  <si>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</si>
  <si>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</si>
  <si>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</si>
  <si>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</si>
  <si>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</si>
  <si>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</si>
  <si>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</si>
  <si>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</si>
  <si>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</si>
  <si>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</si>
  <si>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</si>
  <si>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</si>
  <si>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</si>
  <si>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</si>
  <si>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</si>
  <si>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</si>
  <si>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</si>
  <si>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</si>
  <si>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</si>
  <si>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</si>
  <si>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</si>
  <si>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</si>
  <si>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</si>
  <si>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</si>
  <si>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</si>
  <si>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</si>
  <si>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</si>
  <si>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</si>
  <si>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</si>
  <si>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</si>
  <si>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</si>
  <si>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</si>
  <si>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</si>
  <si>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</si>
  <si>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</si>
  <si>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</si>
  <si>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</si>
  <si>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</si>
  <si>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</si>
  <si>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</si>
  <si>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</si>
  <si>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</si>
  <si>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</si>
  <si>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</si>
  <si>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</si>
  <si>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</si>
  <si>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</si>
  <si>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</si>
  <si>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</si>
  <si>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</si>
  <si>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</si>
  <si>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</si>
  <si>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</si>
  <si>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</si>
  <si>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</si>
  <si>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</si>
  <si>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</si>
  <si>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</si>
  <si>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</si>
  <si>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</si>
  <si>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</si>
  <si>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</si>
  <si>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</si>
  <si>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</si>
  <si>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</si>
  <si>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</si>
  <si>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</si>
  <si>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</si>
  <si>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</si>
  <si>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</si>
  <si>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</si>
  <si>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</si>
  <si>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</si>
  <si>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</si>
  <si>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</si>
  <si>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</si>
  <si>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</si>
  <si>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</si>
  <si>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</si>
  <si>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</si>
  <si>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</si>
  <si>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</si>
  <si>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</si>
  <si>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</si>
  <si>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</si>
  <si>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</si>
  <si>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</si>
  <si>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</si>
  <si>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</si>
  <si>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</si>
  <si>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</si>
  <si>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</si>
  <si>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</si>
  <si>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</si>
  <si>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</si>
  <si>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</si>
  <si>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</si>
  <si>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</si>
  <si>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</si>
  <si>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</si>
  <si>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</si>
  <si>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</si>
  <si>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</si>
  <si>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</si>
  <si>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</si>
  <si>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</si>
  <si>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</si>
  <si>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</si>
  <si>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</si>
  <si>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</si>
  <si>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</si>
  <si>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</si>
  <si>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</si>
  <si>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</si>
  <si>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</si>
  <si>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</si>
  <si>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</si>
  <si>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</si>
  <si>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</si>
  <si>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</si>
  <si>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</si>
  <si>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</si>
  <si>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</si>
  <si>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</si>
  <si>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</si>
  <si>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</si>
  <si>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</si>
  <si>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</si>
  <si>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</si>
  <si>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</si>
  <si>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</si>
  <si>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</si>
  <si>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</si>
  <si>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</si>
  <si>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</si>
  <si>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</si>
  <si>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</si>
  <si>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</si>
  <si>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</si>
  <si>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</si>
  <si>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</si>
  <si>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</si>
  <si>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</si>
  <si>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</si>
  <si>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</si>
  <si>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</si>
  <si>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</si>
  <si>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</si>
  <si>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</si>
  <si>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</si>
  <si>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</si>
  <si>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</si>
  <si>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</si>
  <si>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</si>
  <si>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</si>
  <si>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</si>
  <si>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</si>
  <si>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</si>
  <si>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</si>
  <si>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</si>
  <si>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</si>
  <si>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</si>
  <si>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</si>
  <si>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</si>
  <si>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</si>
  <si>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</si>
  <si>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</si>
  <si>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</si>
  <si>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</si>
  <si>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</si>
  <si>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</si>
  <si>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</si>
  <si>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</si>
  <si>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</si>
  <si>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</si>
  <si>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</si>
  <si>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</si>
  <si>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</si>
  <si>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</si>
  <si>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</si>
  <si>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</si>
  <si>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</si>
  <si>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</si>
  <si>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</si>
  <si>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</si>
  <si>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</si>
  <si>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</si>
  <si>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</si>
  <si>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</si>
  <si>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</si>
  <si>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</si>
  <si>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</si>
  <si>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</si>
  <si>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</si>
  <si>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</si>
  <si>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</si>
  <si>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</si>
  <si>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</si>
  <si>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</si>
  <si>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</si>
  <si>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</si>
  <si>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</si>
  <si>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</si>
  <si>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</si>
  <si>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</si>
  <si>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</si>
  <si>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</si>
  <si>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</si>
  <si>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</si>
  <si>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</si>
  <si>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</si>
  <si>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</si>
  <si>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</si>
  <si>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</si>
  <si>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</si>
  <si>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</si>
  <si>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</si>
  <si>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</si>
  <si>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</si>
  <si>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</si>
  <si>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</si>
  <si>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</si>
  <si>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</si>
  <si>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</si>
  <si>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</si>
  <si>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</si>
  <si>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</si>
  <si>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</si>
  <si>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</si>
  <si>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</si>
  <si>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</si>
  <si>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</si>
  <si>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</si>
  <si>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</si>
  <si>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</si>
  <si>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</si>
  <si>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</si>
  <si>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</si>
  <si>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</si>
  <si>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</si>
  <si>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</si>
  <si>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</si>
  <si>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</si>
  <si>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</si>
  <si>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</si>
  <si>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</si>
  <si>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</si>
  <si>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</si>
  <si>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</si>
  <si>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</si>
  <si>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</si>
  <si>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</si>
  <si>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</si>
  <si>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</si>
  <si>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</si>
  <si>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</si>
  <si>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</si>
  <si>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</si>
  <si>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</si>
  <si>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</si>
  <si>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</si>
  <si>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</si>
  <si>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</si>
  <si>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</si>
  <si>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</si>
  <si>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</si>
  <si>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</si>
  <si>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</si>
  <si>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</si>
  <si>
    <t>NatGas</t>
  </si>
  <si>
    <t>natgas</t>
  </si>
  <si>
    <t>NGCond</t>
  </si>
  <si>
    <t>cng</t>
  </si>
  <si>
    <t>BM-Meth</t>
  </si>
  <si>
    <t>PtF-Meth</t>
  </si>
  <si>
    <t>PVcng</t>
  </si>
  <si>
    <t>TruckN1_ng</t>
  </si>
  <si>
    <t>TruckN2_ng</t>
  </si>
  <si>
    <t>TruckN3_ng</t>
  </si>
  <si>
    <t>TruckSZM_ng</t>
  </si>
  <si>
    <t>1-ng</t>
  </si>
  <si>
    <t>1-bm_Meth</t>
  </si>
  <si>
    <t>1-h2_Meth</t>
  </si>
  <si>
    <t>2-cond</t>
  </si>
  <si>
    <t>MethaneHub</t>
  </si>
  <si>
    <t>2-bm_Meth</t>
  </si>
  <si>
    <t>2-h2_Meth</t>
  </si>
  <si>
    <t>3-cng_PV</t>
  </si>
  <si>
    <t>3-TrN1_ng</t>
  </si>
  <si>
    <t>3-TrN2_ng</t>
  </si>
  <si>
    <t>3-TrN3_ng</t>
  </si>
  <si>
    <t>3-TrSZM_ng</t>
  </si>
  <si>
    <t>4-cngPV</t>
  </si>
  <si>
    <t>4-TrN1_ng</t>
  </si>
  <si>
    <t>4-TrN2_ng</t>
  </si>
  <si>
    <t>4-TrN3_ng</t>
  </si>
  <si>
    <t>4-TrSZM_ng</t>
  </si>
  <si>
    <t>1-EC_4</t>
  </si>
  <si>
    <t xml:space="preserve">Sources </t>
  </si>
  <si>
    <t>…</t>
  </si>
  <si>
    <t>Sinks</t>
  </si>
  <si>
    <t>Transformers</t>
  </si>
  <si>
    <t>Restrictions</t>
  </si>
  <si>
    <t>Connectors</t>
  </si>
  <si>
    <t>Hubs</t>
  </si>
  <si>
    <t>CO2Locations</t>
  </si>
  <si>
    <t>EnergyTypes</t>
  </si>
  <si>
    <t>methanol</t>
  </si>
  <si>
    <t>dme</t>
  </si>
  <si>
    <t>please complete …</t>
  </si>
  <si>
    <t>BM-MeOH</t>
  </si>
  <si>
    <t>BM-DME</t>
  </si>
  <si>
    <t>PtF-MeOH</t>
  </si>
  <si>
    <t>PtF-DME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</si>
</sst>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51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Border="1"/>
    <xf numFmtId="2" fontId="5" fillId="3" borderId="0" xfId="1" applyNumberFormat="1"/>
    <xf numFmtId="164" fontId="5" fillId="3" borderId="0" xfId="1" applyNumberFormat="1"/>
    <xf numFmtId="0" fontId="7" fillId="0" borderId="0" xfId="0" applyFont="1"/>
    <xf numFmtId="0" fontId="0" fillId="0" borderId="0" xfId="0" applyFill="1" applyBorder="1"/>
    <xf numFmtId="0" fontId="7" fillId="0" borderId="0" xfId="0" applyFont="1" applyFill="1" applyBorder="1"/>
    <xf numFmtId="0" fontId="0" fillId="0" borderId="0" xfId="0" applyNumberFormat="1" applyFill="1" applyBorder="1"/>
    <xf numFmtId="0" fontId="5" fillId="3" borderId="2" xfId="1" applyNumberFormat="1" applyBorder="1"/>
    <xf numFmtId="0" fontId="5" fillId="3" borderId="0" xfId="1" applyNumberFormat="1" applyBorder="1"/>
    <xf numFmtId="0" fontId="6" fillId="4" borderId="0" xfId="2"/>
    <xf numFmtId="0" fontId="6" fillId="4" borderId="0" xfId="2" applyNumberFormat="1"/>
    <xf numFmtId="164" fontId="6" fillId="4" borderId="0" xfId="2" applyNumberFormat="1"/>
    <xf numFmtId="0" fontId="5" fillId="3" borderId="0" xfId="1" applyBorder="1"/>
  </cellXfs>
  <cellStyles count="3">
    <cellStyle name="20 % - Akzent2" xfId="2" builtinId="34"/>
    <cellStyle name="Neutral" xfId="1" builtinId="28"/>
    <cellStyle name="Standard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>
      <calculatedColumnFormula>50*10^6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zoomScaleNormal="100" workbookViewId="0">
      <selection activeCell="I3" sqref="I3"/>
    </sheetView>
  </sheetViews>
  <sheetFormatPr baseColWidth="10" defaultColWidth="9.140625"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9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25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s="10" customFormat="1" x14ac:dyDescent="0.25">
      <c r="A3" s="11" t="s">
        <v>858</v>
      </c>
      <c r="B3" s="11">
        <v>0</v>
      </c>
      <c r="C3" s="11">
        <v>1000</v>
      </c>
      <c r="D3" s="11" t="s">
        <v>859</v>
      </c>
      <c r="E3" s="11">
        <v>5.62E-2</v>
      </c>
      <c r="F3" s="11">
        <v>0</v>
      </c>
      <c r="G3" s="11">
        <v>999999</v>
      </c>
      <c r="H3" s="10">
        <v>0</v>
      </c>
      <c r="I3" s="10">
        <v>200</v>
      </c>
    </row>
    <row r="4" spans="1:9" x14ac:dyDescent="0.25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  <c r="H4" s="10">
        <v>0</v>
      </c>
      <c r="I4">
        <v>150</v>
      </c>
    </row>
    <row r="5" spans="1:9" x14ac:dyDescent="0.25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  <c r="H5" s="10">
        <v>0</v>
      </c>
      <c r="I5">
        <v>75</v>
      </c>
    </row>
    <row r="6" spans="1:9" x14ac:dyDescent="0.25">
      <c r="A6" s="5" t="s">
        <v>829</v>
      </c>
      <c r="B6" s="5">
        <v>0</v>
      </c>
      <c r="C6" s="5">
        <v>0</v>
      </c>
      <c r="D6" s="5" t="s">
        <v>830</v>
      </c>
      <c r="E6" s="5">
        <v>0</v>
      </c>
      <c r="F6" s="5">
        <v>0</v>
      </c>
      <c r="G6" s="5">
        <v>999999</v>
      </c>
      <c r="H6" s="10">
        <v>0</v>
      </c>
      <c r="I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7" workbookViewId="0">
      <selection activeCell="D39" sqref="D39"/>
    </sheetView>
  </sheetViews>
  <sheetFormatPr baseColWidth="10" defaultColWidth="9.140625" defaultRowHeight="15" x14ac:dyDescent="0.25"/>
  <cols>
    <col min="1" max="1" width="11.28515625" style="31" bestFit="1" customWidth="1"/>
    <col min="2" max="2" width="6.42578125" style="31" bestFit="1" customWidth="1"/>
    <col min="3" max="3" width="5.7109375" style="31" bestFit="1" customWidth="1"/>
    <col min="4" max="4" width="7.85546875" style="31" bestFit="1" customWidth="1"/>
    <col min="5" max="5" width="7.85546875" style="31" customWidth="1"/>
    <col min="6" max="6" width="11.85546875" style="31" customWidth="1"/>
    <col min="7" max="7" width="21.42578125" style="31" customWidth="1"/>
    <col min="8" max="8" width="11.85546875" style="31" customWidth="1"/>
    <col min="9" max="9" width="5" style="31" customWidth="1"/>
    <col min="10" max="10" width="4.7109375" style="31" customWidth="1"/>
    <col min="11" max="11" width="9.42578125" style="31" bestFit="1" customWidth="1"/>
    <col min="12" max="16" width="9.42578125" style="31" customWidth="1"/>
    <col min="17" max="17" width="8.42578125" style="31" bestFit="1" customWidth="1"/>
    <col min="18" max="18" width="7.7109375" style="31" bestFit="1" customWidth="1"/>
    <col min="19" max="19" width="9.28515625" style="31" bestFit="1" customWidth="1"/>
    <col min="20" max="20" width="7.7109375" style="31" bestFit="1" customWidth="1"/>
    <col min="21" max="21" width="9.28515625" style="31" bestFit="1" customWidth="1"/>
    <col min="22" max="22" width="7.7109375" style="31" bestFit="1" customWidth="1"/>
    <col min="23" max="23" width="6.140625" style="31" bestFit="1" customWidth="1"/>
    <col min="24" max="24" width="7.7109375" style="31" bestFit="1" customWidth="1"/>
    <col min="25" max="25" width="6.140625" style="31" bestFit="1" customWidth="1"/>
    <col min="26" max="26" width="7.7109375" style="31" bestFit="1" customWidth="1"/>
    <col min="27" max="27" width="6.140625" style="31" bestFit="1" customWidth="1"/>
    <col min="28" max="28" width="7.7109375" style="31" bestFit="1" customWidth="1"/>
    <col min="29" max="16384" width="9.140625" style="31"/>
  </cols>
  <sheetData>
    <row r="1" spans="1:23" x14ac:dyDescent="0.25">
      <c r="A1" s="41" t="s">
        <v>887</v>
      </c>
    </row>
    <row r="2" spans="1:23" x14ac:dyDescent="0.25">
      <c r="A2" s="31" t="s">
        <v>888</v>
      </c>
    </row>
    <row r="4" spans="1:23" x14ac:dyDescent="0.25">
      <c r="A4" s="41" t="s">
        <v>889</v>
      </c>
      <c r="U4" s="33"/>
    </row>
    <row r="5" spans="1:23" x14ac:dyDescent="0.25">
      <c r="A5" s="31" t="s">
        <v>0</v>
      </c>
      <c r="B5" s="31" t="s">
        <v>12</v>
      </c>
      <c r="C5" s="31" t="s">
        <v>13</v>
      </c>
      <c r="D5" s="31" t="s">
        <v>4</v>
      </c>
      <c r="E5" s="31" t="s">
        <v>15</v>
      </c>
      <c r="F5" s="31" t="s">
        <v>854</v>
      </c>
      <c r="G5" s="31" t="s">
        <v>855</v>
      </c>
    </row>
    <row r="6" spans="1:23" x14ac:dyDescent="0.25">
      <c r="A6" s="31" t="s">
        <v>27</v>
      </c>
      <c r="B6" s="31">
        <v>0</v>
      </c>
      <c r="C6" s="31">
        <v>0</v>
      </c>
      <c r="D6" s="31" t="s">
        <v>27</v>
      </c>
      <c r="E6" s="47">
        <v>838.8</v>
      </c>
      <c r="F6" s="31">
        <v>320</v>
      </c>
      <c r="G6" s="31">
        <v>250</v>
      </c>
    </row>
    <row r="7" spans="1:23" x14ac:dyDescent="0.25">
      <c r="A7" s="31" t="s">
        <v>54</v>
      </c>
      <c r="B7" s="31">
        <v>0</v>
      </c>
      <c r="C7" s="31">
        <v>0</v>
      </c>
      <c r="D7" s="31" t="s">
        <v>28</v>
      </c>
      <c r="E7" s="47">
        <v>8</v>
      </c>
      <c r="F7" s="31">
        <v>320</v>
      </c>
      <c r="G7" s="31">
        <v>200</v>
      </c>
    </row>
    <row r="8" spans="1:23" x14ac:dyDescent="0.25">
      <c r="A8" s="31" t="s">
        <v>55</v>
      </c>
      <c r="B8" s="31">
        <v>0</v>
      </c>
      <c r="C8" s="31">
        <v>0</v>
      </c>
      <c r="D8" s="31" t="s">
        <v>28</v>
      </c>
      <c r="E8" s="47">
        <v>26.2</v>
      </c>
      <c r="F8" s="31">
        <v>320</v>
      </c>
      <c r="G8" s="31">
        <v>150</v>
      </c>
    </row>
    <row r="9" spans="1:23" x14ac:dyDescent="0.25">
      <c r="A9" s="31" t="s">
        <v>56</v>
      </c>
      <c r="B9" s="31">
        <v>0</v>
      </c>
      <c r="C9" s="31">
        <v>0</v>
      </c>
      <c r="D9" s="31" t="s">
        <v>28</v>
      </c>
      <c r="E9" s="47">
        <v>123.8</v>
      </c>
      <c r="F9" s="31">
        <v>320</v>
      </c>
      <c r="G9" s="31">
        <v>100</v>
      </c>
    </row>
    <row r="10" spans="1:23" x14ac:dyDescent="0.25">
      <c r="A10" s="31" t="s">
        <v>57</v>
      </c>
      <c r="B10" s="31">
        <v>0</v>
      </c>
      <c r="C10" s="31">
        <v>0</v>
      </c>
      <c r="D10" s="31" t="s">
        <v>28</v>
      </c>
      <c r="E10" s="47">
        <v>388.5</v>
      </c>
      <c r="F10" s="31">
        <v>320</v>
      </c>
      <c r="G10" s="31">
        <v>50</v>
      </c>
    </row>
    <row r="11" spans="1:23" x14ac:dyDescent="0.25">
      <c r="A11" s="31" t="s">
        <v>831</v>
      </c>
      <c r="B11" s="31">
        <v>0</v>
      </c>
      <c r="C11" s="31">
        <v>0</v>
      </c>
      <c r="D11" s="31" t="s">
        <v>831</v>
      </c>
      <c r="E11" s="47">
        <v>121</v>
      </c>
      <c r="F11" s="31">
        <v>320</v>
      </c>
      <c r="G11" s="31">
        <v>0</v>
      </c>
      <c r="U11" s="33"/>
      <c r="W11" s="33"/>
    </row>
    <row r="14" spans="1:23" x14ac:dyDescent="0.25">
      <c r="A14" s="41" t="s">
        <v>890</v>
      </c>
    </row>
    <row r="15" spans="1:23" x14ac:dyDescent="0.25">
      <c r="A15" s="31" t="s">
        <v>0</v>
      </c>
      <c r="B15" s="34" t="s">
        <v>12</v>
      </c>
      <c r="C15" s="36" t="s">
        <v>13</v>
      </c>
      <c r="D15" s="31" t="s">
        <v>1</v>
      </c>
      <c r="E15" s="34" t="s">
        <v>64</v>
      </c>
      <c r="F15" s="31" t="s">
        <v>65</v>
      </c>
      <c r="G15" s="34" t="s">
        <v>857</v>
      </c>
      <c r="H15" s="31" t="s">
        <v>827</v>
      </c>
      <c r="I15" s="34" t="s">
        <v>854</v>
      </c>
      <c r="J15" s="35" t="s">
        <v>855</v>
      </c>
      <c r="K15" s="34" t="s">
        <v>21</v>
      </c>
      <c r="L15" s="31" t="s">
        <v>24</v>
      </c>
      <c r="M15" s="31" t="s">
        <v>25</v>
      </c>
      <c r="N15" s="31" t="s">
        <v>26</v>
      </c>
      <c r="O15" s="34" t="s">
        <v>16</v>
      </c>
      <c r="P15" s="31" t="s">
        <v>17</v>
      </c>
      <c r="Q15" s="31" t="s">
        <v>2</v>
      </c>
      <c r="R15" s="31" t="s">
        <v>3</v>
      </c>
      <c r="S15" s="31" t="s">
        <v>42</v>
      </c>
      <c r="T15" s="31" t="s">
        <v>43</v>
      </c>
    </row>
    <row r="16" spans="1:23" x14ac:dyDescent="0.25">
      <c r="A16" s="31" t="s">
        <v>9</v>
      </c>
      <c r="B16" s="34">
        <v>0</v>
      </c>
      <c r="C16" s="36">
        <v>0</v>
      </c>
      <c r="D16" s="33">
        <v>0.93</v>
      </c>
      <c r="E16" s="37">
        <v>0</v>
      </c>
      <c r="F16" s="28">
        <v>999999</v>
      </c>
      <c r="G16" s="37">
        <v>0</v>
      </c>
      <c r="H16" s="28">
        <v>0</v>
      </c>
      <c r="I16" s="37">
        <v>80</v>
      </c>
      <c r="J16" s="38">
        <v>300</v>
      </c>
      <c r="K16" s="34" t="s">
        <v>10</v>
      </c>
      <c r="L16" s="31">
        <v>1</v>
      </c>
      <c r="O16" s="34" t="s">
        <v>8</v>
      </c>
      <c r="P16" s="31">
        <v>0.27956989247311831</v>
      </c>
      <c r="Q16" s="31" t="s">
        <v>29</v>
      </c>
      <c r="R16" s="31">
        <v>0.58064516129032262</v>
      </c>
      <c r="S16" s="31" t="s">
        <v>831</v>
      </c>
      <c r="T16" s="31">
        <v>0.13978494623655915</v>
      </c>
    </row>
    <row r="17" spans="1:20" x14ac:dyDescent="0.25">
      <c r="A17" s="31" t="s">
        <v>832</v>
      </c>
      <c r="B17" s="34">
        <v>0</v>
      </c>
      <c r="C17" s="36">
        <v>0</v>
      </c>
      <c r="D17" s="33">
        <v>0.93</v>
      </c>
      <c r="E17" s="34">
        <v>0</v>
      </c>
      <c r="F17" s="31">
        <v>999999</v>
      </c>
      <c r="G17" s="34">
        <v>0</v>
      </c>
      <c r="H17" s="28">
        <v>0</v>
      </c>
      <c r="I17" s="37">
        <v>80</v>
      </c>
      <c r="J17" s="38">
        <v>250</v>
      </c>
      <c r="K17" s="34" t="s">
        <v>10</v>
      </c>
      <c r="L17" s="31">
        <v>1</v>
      </c>
      <c r="O17" s="34" t="s">
        <v>8</v>
      </c>
      <c r="P17" s="31">
        <v>0.32520325203252037</v>
      </c>
      <c r="Q17" s="31" t="s">
        <v>29</v>
      </c>
      <c r="R17" s="31">
        <v>0.67479674796747968</v>
      </c>
    </row>
    <row r="18" spans="1:20" x14ac:dyDescent="0.25">
      <c r="A18" s="31" t="s">
        <v>860</v>
      </c>
      <c r="B18" s="34">
        <v>0</v>
      </c>
      <c r="C18" s="36">
        <v>0</v>
      </c>
      <c r="D18" s="33">
        <f>53.4/(53.6+0.93)</f>
        <v>0.97927746194755172</v>
      </c>
      <c r="E18" s="34">
        <v>0</v>
      </c>
      <c r="F18" s="31">
        <v>999999</v>
      </c>
      <c r="G18" s="34">
        <v>0</v>
      </c>
      <c r="H18" s="31">
        <v>0</v>
      </c>
      <c r="I18" s="34">
        <v>80</v>
      </c>
      <c r="J18" s="38">
        <v>225</v>
      </c>
      <c r="K18" s="34" t="s">
        <v>859</v>
      </c>
      <c r="L18" s="31">
        <v>1</v>
      </c>
      <c r="O18" s="34" t="s">
        <v>861</v>
      </c>
      <c r="P18" s="31">
        <v>1</v>
      </c>
    </row>
    <row r="19" spans="1:20" x14ac:dyDescent="0.25">
      <c r="A19" s="31" t="s">
        <v>31</v>
      </c>
      <c r="B19" s="34">
        <v>0</v>
      </c>
      <c r="C19" s="36">
        <v>0</v>
      </c>
      <c r="D19" s="33">
        <v>0.54</v>
      </c>
      <c r="E19" s="37">
        <v>0</v>
      </c>
      <c r="F19" s="28">
        <v>999999</v>
      </c>
      <c r="G19" s="37">
        <v>0</v>
      </c>
      <c r="H19" s="28">
        <v>0</v>
      </c>
      <c r="I19" s="37">
        <v>80</v>
      </c>
      <c r="J19" s="38">
        <v>150</v>
      </c>
      <c r="K19" s="34" t="s">
        <v>19</v>
      </c>
      <c r="L19" s="31">
        <v>1</v>
      </c>
      <c r="O19" s="34" t="s">
        <v>29</v>
      </c>
      <c r="P19" s="31">
        <v>1</v>
      </c>
    </row>
    <row r="20" spans="1:20" x14ac:dyDescent="0.25">
      <c r="A20" s="31" t="s">
        <v>30</v>
      </c>
      <c r="B20" s="34">
        <v>0</v>
      </c>
      <c r="C20" s="36">
        <v>0</v>
      </c>
      <c r="D20" s="33">
        <v>0.54</v>
      </c>
      <c r="E20" s="37">
        <v>0</v>
      </c>
      <c r="F20" s="28">
        <v>999999</v>
      </c>
      <c r="G20" s="37">
        <v>0</v>
      </c>
      <c r="H20" s="28">
        <v>0</v>
      </c>
      <c r="I20" s="37">
        <v>80</v>
      </c>
      <c r="J20" s="38">
        <v>200</v>
      </c>
      <c r="K20" s="34" t="s">
        <v>19</v>
      </c>
      <c r="L20" s="31">
        <v>1</v>
      </c>
      <c r="O20" s="34" t="s">
        <v>8</v>
      </c>
      <c r="P20" s="31">
        <v>1</v>
      </c>
    </row>
    <row r="21" spans="1:20" x14ac:dyDescent="0.25">
      <c r="A21" s="31" t="s">
        <v>862</v>
      </c>
      <c r="B21" s="34">
        <v>0</v>
      </c>
      <c r="C21" s="36">
        <v>0</v>
      </c>
      <c r="D21" s="33">
        <v>0.52800000000000002</v>
      </c>
      <c r="E21" s="37">
        <v>0</v>
      </c>
      <c r="F21" s="28">
        <v>999999</v>
      </c>
      <c r="G21" s="37">
        <v>0</v>
      </c>
      <c r="H21" s="28">
        <v>0</v>
      </c>
      <c r="I21" s="37">
        <v>80</v>
      </c>
      <c r="J21" s="38">
        <v>175</v>
      </c>
      <c r="K21" s="34" t="s">
        <v>19</v>
      </c>
      <c r="L21" s="31">
        <v>1</v>
      </c>
      <c r="O21" s="34" t="s">
        <v>861</v>
      </c>
      <c r="P21" s="31">
        <v>1</v>
      </c>
    </row>
    <row r="22" spans="1:20" x14ac:dyDescent="0.25">
      <c r="A22" s="31" t="s">
        <v>899</v>
      </c>
      <c r="B22" s="34">
        <v>0</v>
      </c>
      <c r="C22" s="36">
        <v>0</v>
      </c>
      <c r="D22" s="33">
        <f>0.66*(1328/1574)</f>
        <v>0.55684879288437106</v>
      </c>
      <c r="E22" s="37">
        <v>0</v>
      </c>
      <c r="F22" s="44">
        <v>50</v>
      </c>
      <c r="G22" s="37">
        <v>0</v>
      </c>
      <c r="H22" s="44">
        <v>0</v>
      </c>
      <c r="I22" s="45"/>
      <c r="J22" s="46"/>
      <c r="K22" s="34" t="s">
        <v>19</v>
      </c>
      <c r="L22" s="31">
        <v>1</v>
      </c>
      <c r="O22" s="34" t="s">
        <v>8</v>
      </c>
      <c r="P22" s="31">
        <v>1</v>
      </c>
    </row>
    <row r="23" spans="1:20" x14ac:dyDescent="0.25">
      <c r="A23" s="31" t="s">
        <v>900</v>
      </c>
      <c r="B23" s="34">
        <v>0</v>
      </c>
      <c r="C23" s="36">
        <v>0</v>
      </c>
      <c r="D23" s="33">
        <f>0.66*(638/767)</f>
        <v>0.54899608865710559</v>
      </c>
      <c r="E23" s="37">
        <v>0</v>
      </c>
      <c r="F23" s="44">
        <v>50</v>
      </c>
      <c r="G23" s="37">
        <v>0</v>
      </c>
      <c r="H23" s="44">
        <v>0</v>
      </c>
      <c r="I23" s="45"/>
      <c r="J23" s="46"/>
      <c r="K23" s="34" t="s">
        <v>19</v>
      </c>
      <c r="L23" s="31">
        <v>1</v>
      </c>
      <c r="O23" s="34" t="s">
        <v>29</v>
      </c>
      <c r="P23" s="31">
        <v>1</v>
      </c>
    </row>
    <row r="24" spans="1:20" x14ac:dyDescent="0.25">
      <c r="A24" s="31" t="s">
        <v>11</v>
      </c>
      <c r="B24" s="34">
        <v>0</v>
      </c>
      <c r="C24" s="36">
        <v>0</v>
      </c>
      <c r="D24" s="33">
        <f>650/(746+59.3)</f>
        <v>0.80715261393269588</v>
      </c>
      <c r="E24" s="37">
        <v>0</v>
      </c>
      <c r="F24" s="28">
        <v>999999</v>
      </c>
      <c r="G24" s="37">
        <v>43.1</v>
      </c>
      <c r="H24" s="33">
        <f>44/650</f>
        <v>6.7692307692307691E-2</v>
      </c>
      <c r="I24" s="37">
        <v>80</v>
      </c>
      <c r="J24" s="38">
        <v>100</v>
      </c>
      <c r="K24" s="34" t="s">
        <v>7</v>
      </c>
      <c r="L24" s="33">
        <f>746/(746+59.3)</f>
        <v>0.92636284614429409</v>
      </c>
      <c r="M24" s="31" t="s">
        <v>830</v>
      </c>
      <c r="N24" s="33">
        <f>1-L24</f>
        <v>7.3637153855705906E-2</v>
      </c>
      <c r="O24" s="34" t="s">
        <v>8</v>
      </c>
      <c r="P24" s="31">
        <v>1</v>
      </c>
    </row>
    <row r="25" spans="1:20" x14ac:dyDescent="0.25">
      <c r="A25" s="31" t="s">
        <v>833</v>
      </c>
      <c r="B25" s="34">
        <v>0</v>
      </c>
      <c r="C25" s="36">
        <v>0</v>
      </c>
      <c r="D25" s="33">
        <f>(8.9+19.9)/(34.2+3.5)</f>
        <v>0.76392572944297066</v>
      </c>
      <c r="E25" s="37">
        <v>0</v>
      </c>
      <c r="F25" s="28">
        <v>999999</v>
      </c>
      <c r="G25" s="37">
        <v>43.1</v>
      </c>
      <c r="H25" s="33">
        <f>3.88/(8.9+19.9)</f>
        <v>0.13472222222222224</v>
      </c>
      <c r="I25" s="37">
        <v>80</v>
      </c>
      <c r="J25" s="38">
        <v>50</v>
      </c>
      <c r="K25" s="34" t="s">
        <v>7</v>
      </c>
      <c r="L25" s="33">
        <f>34.2/(34.2+3.5)</f>
        <v>0.90716180371352784</v>
      </c>
      <c r="M25" s="31" t="s">
        <v>830</v>
      </c>
      <c r="N25" s="33">
        <f t="shared" ref="N25:N29" si="0">1-L25</f>
        <v>9.2838196286472163E-2</v>
      </c>
      <c r="O25" s="34" t="s">
        <v>8</v>
      </c>
      <c r="P25" s="33">
        <f>8.9/(8.9+19.9)</f>
        <v>0.30902777777777785</v>
      </c>
      <c r="Q25" s="31" t="s">
        <v>29</v>
      </c>
      <c r="R25" s="33">
        <v>0.6909722222222221</v>
      </c>
    </row>
    <row r="26" spans="1:20" x14ac:dyDescent="0.25">
      <c r="A26" s="31" t="s">
        <v>834</v>
      </c>
      <c r="B26" s="34">
        <v>0</v>
      </c>
      <c r="C26" s="36">
        <v>0</v>
      </c>
      <c r="D26" s="33">
        <f>((14700+43500+1800)/3600*43)/(30600/3600*120)</f>
        <v>0.70261437908496738</v>
      </c>
      <c r="E26" s="37">
        <v>0</v>
      </c>
      <c r="F26" s="28">
        <v>999999</v>
      </c>
      <c r="G26" s="37">
        <v>43.1</v>
      </c>
      <c r="H26" s="33">
        <f>3.88/(8.9+19.9)</f>
        <v>0.13472222222222224</v>
      </c>
      <c r="I26" s="37">
        <v>80</v>
      </c>
      <c r="J26" s="38">
        <v>0</v>
      </c>
      <c r="K26" s="34" t="s">
        <v>7</v>
      </c>
      <c r="L26" s="33">
        <f>34.2/(34.2+3.5)</f>
        <v>0.90716180371352784</v>
      </c>
      <c r="M26" s="31" t="s">
        <v>830</v>
      </c>
      <c r="N26" s="33">
        <f t="shared" si="0"/>
        <v>9.2838196286472163E-2</v>
      </c>
      <c r="O26" s="34" t="s">
        <v>8</v>
      </c>
      <c r="P26" s="33">
        <f>14.7/(14.7+1.8+43.5)</f>
        <v>0.245</v>
      </c>
      <c r="Q26" s="31" t="s">
        <v>29</v>
      </c>
      <c r="R26" s="33">
        <f>1.8/(14.7+1.8+43.5)</f>
        <v>3.0000000000000002E-2</v>
      </c>
      <c r="S26" s="31" t="s">
        <v>831</v>
      </c>
      <c r="T26" s="33">
        <f>1-P26-R26</f>
        <v>0.72499999999999998</v>
      </c>
    </row>
    <row r="27" spans="1:20" x14ac:dyDescent="0.25">
      <c r="A27" s="31" t="s">
        <v>863</v>
      </c>
      <c r="B27" s="34">
        <v>0</v>
      </c>
      <c r="C27" s="36">
        <v>0</v>
      </c>
      <c r="D27" s="33">
        <f>12.54/(15.08+0.35)</f>
        <v>0.81270252754374595</v>
      </c>
      <c r="E27" s="37">
        <v>0</v>
      </c>
      <c r="F27" s="28">
        <v>999999</v>
      </c>
      <c r="G27" s="37">
        <v>43.1</v>
      </c>
      <c r="H27" s="33">
        <f>0.69/12.54</f>
        <v>5.5023923444976079E-2</v>
      </c>
      <c r="I27" s="37">
        <v>80</v>
      </c>
      <c r="J27" s="38">
        <v>125</v>
      </c>
      <c r="K27" s="34" t="s">
        <v>7</v>
      </c>
      <c r="L27" s="33">
        <f>15.08/(15.08+0.35)</f>
        <v>0.97731691510045371</v>
      </c>
      <c r="M27" s="31" t="s">
        <v>830</v>
      </c>
      <c r="N27" s="33">
        <f t="shared" si="0"/>
        <v>2.2683084899546291E-2</v>
      </c>
      <c r="O27" s="34" t="s">
        <v>861</v>
      </c>
      <c r="P27" s="31">
        <v>1</v>
      </c>
    </row>
    <row r="28" spans="1:20" x14ac:dyDescent="0.25">
      <c r="A28" s="31" t="s">
        <v>901</v>
      </c>
      <c r="B28" s="34">
        <v>0</v>
      </c>
      <c r="C28" s="36">
        <v>0</v>
      </c>
      <c r="D28" s="33">
        <f>19.92/(22.55+1.02)</f>
        <v>0.84514212982605008</v>
      </c>
      <c r="E28" s="37">
        <v>0</v>
      </c>
      <c r="F28" s="44">
        <v>50</v>
      </c>
      <c r="G28" s="37">
        <v>19.899999999999999</v>
      </c>
      <c r="H28" s="33">
        <f>1.37/19.9</f>
        <v>6.8844221105527653E-2</v>
      </c>
      <c r="I28" s="45"/>
      <c r="J28" s="46"/>
      <c r="K28" s="34" t="s">
        <v>7</v>
      </c>
      <c r="L28" s="33">
        <f>22.55/(22.55+1.02)</f>
        <v>0.95672464997878659</v>
      </c>
      <c r="M28" s="31" t="s">
        <v>830</v>
      </c>
      <c r="N28" s="33">
        <f>1-L28</f>
        <v>4.327535002121341E-2</v>
      </c>
      <c r="O28" s="34" t="s">
        <v>8</v>
      </c>
      <c r="P28" s="31">
        <v>1</v>
      </c>
    </row>
    <row r="29" spans="1:20" x14ac:dyDescent="0.25">
      <c r="A29" s="31" t="s">
        <v>902</v>
      </c>
      <c r="B29" s="34">
        <v>0</v>
      </c>
      <c r="C29" s="36">
        <v>0</v>
      </c>
      <c r="D29" s="33">
        <f>28.84/(31.67+2.13)</f>
        <v>0.85325443786982236</v>
      </c>
      <c r="E29" s="37">
        <v>0</v>
      </c>
      <c r="F29" s="44">
        <v>50</v>
      </c>
      <c r="G29" s="37">
        <v>28.835000000000001</v>
      </c>
      <c r="H29" s="33">
        <f>1.93/28.84</f>
        <v>6.6920943134535366E-2</v>
      </c>
      <c r="I29" s="45"/>
      <c r="J29" s="46"/>
      <c r="K29" s="34" t="s">
        <v>7</v>
      </c>
      <c r="L29" s="33">
        <f>31.67/(31.67+2.13)</f>
        <v>0.93698224852070999</v>
      </c>
      <c r="M29" s="31" t="s">
        <v>830</v>
      </c>
      <c r="N29" s="33">
        <f>1-L29</f>
        <v>6.3017751479290007E-2</v>
      </c>
      <c r="O29" s="34" t="s">
        <v>29</v>
      </c>
      <c r="P29" s="31">
        <v>1</v>
      </c>
    </row>
    <row r="30" spans="1:20" x14ac:dyDescent="0.25">
      <c r="A30" s="31" t="s">
        <v>50</v>
      </c>
      <c r="B30" s="34">
        <v>0</v>
      </c>
      <c r="C30" s="36">
        <v>0</v>
      </c>
      <c r="D30" s="49">
        <f>1.5/1.9</f>
        <v>0.78947368421052633</v>
      </c>
      <c r="E30" s="37">
        <v>0</v>
      </c>
      <c r="F30" s="28">
        <v>400</v>
      </c>
      <c r="G30" s="37">
        <v>0</v>
      </c>
      <c r="H30" s="28">
        <v>0</v>
      </c>
      <c r="I30" s="37">
        <v>240</v>
      </c>
      <c r="J30" s="38">
        <v>300</v>
      </c>
      <c r="K30" s="34" t="s">
        <v>8</v>
      </c>
      <c r="L30" s="31">
        <v>1</v>
      </c>
      <c r="O30" s="34" t="s">
        <v>27</v>
      </c>
      <c r="P30" s="31">
        <v>1</v>
      </c>
    </row>
    <row r="31" spans="1:20" x14ac:dyDescent="0.25">
      <c r="A31" s="31" t="s">
        <v>51</v>
      </c>
      <c r="B31" s="34">
        <v>0</v>
      </c>
      <c r="C31" s="36">
        <v>0</v>
      </c>
      <c r="D31" s="49">
        <f>1.5/1.8</f>
        <v>0.83333333333333326</v>
      </c>
      <c r="E31" s="37">
        <v>0</v>
      </c>
      <c r="F31" s="28">
        <v>999999</v>
      </c>
      <c r="G31" s="37">
        <v>0</v>
      </c>
      <c r="H31" s="28">
        <v>0</v>
      </c>
      <c r="I31" s="37">
        <v>240</v>
      </c>
      <c r="J31" s="38">
        <v>250</v>
      </c>
      <c r="K31" s="34" t="s">
        <v>29</v>
      </c>
      <c r="L31" s="31">
        <v>1</v>
      </c>
      <c r="O31" s="34" t="s">
        <v>27</v>
      </c>
      <c r="P31" s="31">
        <v>1</v>
      </c>
    </row>
    <row r="32" spans="1:20" x14ac:dyDescent="0.25">
      <c r="A32" s="31" t="s">
        <v>44</v>
      </c>
      <c r="B32" s="34">
        <v>0</v>
      </c>
      <c r="C32" s="36">
        <v>0</v>
      </c>
      <c r="D32" s="49">
        <f>0.2/2.2</f>
        <v>9.0909090909090912E-2</v>
      </c>
      <c r="E32" s="37">
        <v>0</v>
      </c>
      <c r="F32" s="28">
        <v>999999</v>
      </c>
      <c r="G32" s="37">
        <v>0</v>
      </c>
      <c r="H32" s="28">
        <v>0</v>
      </c>
      <c r="I32" s="37">
        <v>240</v>
      </c>
      <c r="J32" s="38">
        <v>200</v>
      </c>
      <c r="K32" s="34" t="s">
        <v>29</v>
      </c>
      <c r="L32" s="31">
        <v>1</v>
      </c>
      <c r="O32" s="34" t="s">
        <v>28</v>
      </c>
      <c r="P32" s="31">
        <v>1</v>
      </c>
    </row>
    <row r="33" spans="1:16" x14ac:dyDescent="0.25">
      <c r="A33" s="31" t="s">
        <v>45</v>
      </c>
      <c r="B33" s="34">
        <v>0</v>
      </c>
      <c r="C33" s="36">
        <v>0</v>
      </c>
      <c r="D33" s="49">
        <f>2.7/3.9</f>
        <v>0.6923076923076924</v>
      </c>
      <c r="E33" s="37">
        <v>0</v>
      </c>
      <c r="F33" s="28">
        <v>999999</v>
      </c>
      <c r="G33" s="37">
        <v>0</v>
      </c>
      <c r="H33" s="28">
        <v>0</v>
      </c>
      <c r="I33" s="37">
        <v>240</v>
      </c>
      <c r="J33" s="38">
        <v>150</v>
      </c>
      <c r="K33" s="34" t="s">
        <v>29</v>
      </c>
      <c r="L33" s="31">
        <v>1</v>
      </c>
      <c r="O33" s="34" t="s">
        <v>28</v>
      </c>
      <c r="P33" s="31">
        <v>1</v>
      </c>
    </row>
    <row r="34" spans="1:16" x14ac:dyDescent="0.25">
      <c r="A34" s="31" t="s">
        <v>58</v>
      </c>
      <c r="B34" s="34">
        <v>0</v>
      </c>
      <c r="C34" s="36">
        <v>0</v>
      </c>
      <c r="D34" s="49">
        <f>5.5/7.8</f>
        <v>0.70512820512820518</v>
      </c>
      <c r="E34" s="37">
        <v>0</v>
      </c>
      <c r="F34" s="28">
        <v>999999</v>
      </c>
      <c r="G34" s="37">
        <v>0</v>
      </c>
      <c r="H34" s="28">
        <v>0</v>
      </c>
      <c r="I34" s="37">
        <v>240</v>
      </c>
      <c r="J34" s="38">
        <v>100</v>
      </c>
      <c r="K34" s="34" t="s">
        <v>29</v>
      </c>
      <c r="L34" s="31">
        <v>1</v>
      </c>
      <c r="O34" s="34" t="s">
        <v>28</v>
      </c>
      <c r="P34" s="31">
        <v>1</v>
      </c>
    </row>
    <row r="35" spans="1:16" x14ac:dyDescent="0.25">
      <c r="A35" s="31" t="s">
        <v>59</v>
      </c>
      <c r="B35" s="34">
        <v>0</v>
      </c>
      <c r="C35" s="36">
        <v>0</v>
      </c>
      <c r="D35" s="49">
        <f>13.5/8.8</f>
        <v>1.5340909090909089</v>
      </c>
      <c r="E35" s="37">
        <v>0</v>
      </c>
      <c r="F35" s="28">
        <v>999999</v>
      </c>
      <c r="G35" s="37">
        <v>0</v>
      </c>
      <c r="H35" s="28">
        <v>0</v>
      </c>
      <c r="I35" s="37">
        <v>240</v>
      </c>
      <c r="J35" s="38">
        <v>50</v>
      </c>
      <c r="K35" s="34" t="s">
        <v>29</v>
      </c>
      <c r="L35" s="31">
        <v>1</v>
      </c>
      <c r="O35" s="34" t="s">
        <v>28</v>
      </c>
      <c r="P35" s="31">
        <v>1</v>
      </c>
    </row>
    <row r="36" spans="1:16" x14ac:dyDescent="0.25">
      <c r="A36" s="31" t="s">
        <v>864</v>
      </c>
      <c r="B36" s="34">
        <v>0</v>
      </c>
      <c r="C36" s="36">
        <v>0</v>
      </c>
      <c r="D36" s="49">
        <f>1.5/2</f>
        <v>0.75</v>
      </c>
      <c r="E36" s="37">
        <v>0</v>
      </c>
      <c r="F36" s="48">
        <v>83.88</v>
      </c>
      <c r="G36" s="37">
        <v>0</v>
      </c>
      <c r="H36" s="28">
        <v>0</v>
      </c>
      <c r="I36" s="37">
        <v>240</v>
      </c>
      <c r="J36" s="38">
        <v>75</v>
      </c>
      <c r="K36" s="34" t="s">
        <v>861</v>
      </c>
      <c r="L36" s="31">
        <v>1</v>
      </c>
      <c r="O36" s="34" t="s">
        <v>27</v>
      </c>
      <c r="P36" s="31">
        <v>1</v>
      </c>
    </row>
    <row r="37" spans="1:16" x14ac:dyDescent="0.25">
      <c r="A37" s="31" t="s">
        <v>865</v>
      </c>
      <c r="B37" s="34">
        <v>0</v>
      </c>
      <c r="C37" s="36">
        <v>0</v>
      </c>
      <c r="D37" s="49">
        <f>20/240</f>
        <v>8.3333333333333329E-2</v>
      </c>
      <c r="E37" s="37">
        <v>0</v>
      </c>
      <c r="F37" s="48">
        <v>0.8</v>
      </c>
      <c r="G37" s="37">
        <v>0</v>
      </c>
      <c r="H37" s="28">
        <v>0</v>
      </c>
      <c r="I37" s="37">
        <v>240</v>
      </c>
      <c r="J37" s="38">
        <v>125</v>
      </c>
      <c r="K37" s="34" t="s">
        <v>861</v>
      </c>
      <c r="L37" s="31">
        <v>1</v>
      </c>
      <c r="O37" s="34" t="s">
        <v>28</v>
      </c>
      <c r="P37" s="31">
        <v>1</v>
      </c>
    </row>
    <row r="38" spans="1:16" x14ac:dyDescent="0.25">
      <c r="A38" s="31" t="s">
        <v>866</v>
      </c>
      <c r="B38" s="34">
        <v>0</v>
      </c>
      <c r="C38" s="36">
        <v>0</v>
      </c>
      <c r="D38" s="49">
        <f>270/540</f>
        <v>0.5</v>
      </c>
      <c r="E38" s="37">
        <v>0</v>
      </c>
      <c r="F38" s="48">
        <v>2.62</v>
      </c>
      <c r="G38" s="37">
        <v>0</v>
      </c>
      <c r="H38" s="28">
        <v>0</v>
      </c>
      <c r="I38" s="37">
        <v>240</v>
      </c>
      <c r="J38" s="38">
        <v>175</v>
      </c>
      <c r="K38" s="34" t="s">
        <v>861</v>
      </c>
      <c r="L38" s="31">
        <v>1</v>
      </c>
      <c r="O38" s="34" t="s">
        <v>28</v>
      </c>
      <c r="P38" s="31">
        <v>1</v>
      </c>
    </row>
    <row r="39" spans="1:16" x14ac:dyDescent="0.25">
      <c r="A39" s="31" t="s">
        <v>867</v>
      </c>
      <c r="B39" s="34">
        <v>0</v>
      </c>
      <c r="C39" s="36">
        <v>0</v>
      </c>
      <c r="D39" s="49">
        <f>550/900</f>
        <v>0.61111111111111116</v>
      </c>
      <c r="E39" s="37">
        <v>0</v>
      </c>
      <c r="F39" s="48">
        <v>12.38</v>
      </c>
      <c r="G39" s="37">
        <v>0</v>
      </c>
      <c r="H39" s="28">
        <v>0</v>
      </c>
      <c r="I39" s="37">
        <v>240</v>
      </c>
      <c r="J39" s="38">
        <v>225</v>
      </c>
      <c r="K39" s="34" t="s">
        <v>861</v>
      </c>
      <c r="L39" s="31">
        <v>1</v>
      </c>
      <c r="O39" s="34" t="s">
        <v>28</v>
      </c>
      <c r="P39" s="31">
        <v>1</v>
      </c>
    </row>
    <row r="40" spans="1:16" x14ac:dyDescent="0.25">
      <c r="A40" s="31" t="s">
        <v>868</v>
      </c>
      <c r="B40" s="34">
        <v>0</v>
      </c>
      <c r="C40" s="36">
        <v>0</v>
      </c>
      <c r="D40" s="49">
        <f>1350/1020</f>
        <v>1.3235294117647058</v>
      </c>
      <c r="E40" s="37">
        <v>0</v>
      </c>
      <c r="F40" s="48">
        <v>38.85</v>
      </c>
      <c r="G40" s="37">
        <v>0</v>
      </c>
      <c r="H40" s="28">
        <v>0</v>
      </c>
      <c r="I40" s="37">
        <v>240</v>
      </c>
      <c r="J40" s="38">
        <v>275</v>
      </c>
      <c r="K40" s="34" t="s">
        <v>861</v>
      </c>
      <c r="L40" s="31">
        <v>1</v>
      </c>
      <c r="O40" s="34" t="s">
        <v>28</v>
      </c>
      <c r="P40" s="31">
        <v>1</v>
      </c>
    </row>
    <row r="41" spans="1:16" x14ac:dyDescent="0.25">
      <c r="B41" s="35"/>
      <c r="C41" s="35"/>
      <c r="E41" s="38"/>
      <c r="F41" s="28"/>
      <c r="G41" s="38"/>
      <c r="H41" s="28"/>
      <c r="I41" s="38"/>
      <c r="J41" s="38"/>
      <c r="K41" s="35"/>
      <c r="O41" s="35"/>
    </row>
    <row r="42" spans="1:16" x14ac:dyDescent="0.25">
      <c r="A42" s="43" t="s">
        <v>892</v>
      </c>
      <c r="B42" s="35"/>
      <c r="C42" s="35"/>
      <c r="E42" s="38"/>
      <c r="F42" s="28"/>
      <c r="G42" s="38"/>
      <c r="H42" s="28"/>
      <c r="I42" s="38"/>
      <c r="J42" s="38"/>
      <c r="K42" s="35"/>
      <c r="O42" s="35"/>
    </row>
    <row r="43" spans="1:16" x14ac:dyDescent="0.25">
      <c r="A43" s="50" t="s">
        <v>898</v>
      </c>
      <c r="B43" s="50"/>
      <c r="C43" s="35"/>
      <c r="E43" s="38"/>
      <c r="F43" s="28"/>
      <c r="G43" s="38"/>
      <c r="H43" s="28"/>
      <c r="I43" s="38"/>
      <c r="J43" s="38"/>
      <c r="K43" s="35"/>
      <c r="O43" s="35"/>
    </row>
    <row r="44" spans="1:16" x14ac:dyDescent="0.25">
      <c r="A44" s="42"/>
      <c r="B44" s="35"/>
      <c r="C44" s="35"/>
      <c r="E44" s="38"/>
      <c r="F44" s="28"/>
      <c r="G44" s="38"/>
      <c r="H44" s="28"/>
      <c r="I44" s="38"/>
      <c r="J44" s="38"/>
      <c r="K44" s="35"/>
      <c r="O44" s="35"/>
    </row>
    <row r="45" spans="1:16" x14ac:dyDescent="0.25">
      <c r="A45" s="43" t="s">
        <v>893</v>
      </c>
      <c r="B45" s="35"/>
      <c r="C45" s="35"/>
      <c r="E45" s="38"/>
      <c r="F45" s="28"/>
      <c r="G45" s="38"/>
      <c r="H45" s="28"/>
      <c r="I45" s="38"/>
      <c r="J45" s="38"/>
      <c r="K45" s="35"/>
      <c r="O45" s="35"/>
    </row>
    <row r="46" spans="1:16" x14ac:dyDescent="0.25">
      <c r="A46" s="42" t="s">
        <v>888</v>
      </c>
      <c r="B46" s="35"/>
      <c r="C46" s="35"/>
      <c r="E46" s="38"/>
      <c r="F46" s="28"/>
      <c r="G46" s="38"/>
      <c r="H46" s="28"/>
      <c r="I46" s="38"/>
      <c r="J46" s="38"/>
      <c r="K46" s="35"/>
      <c r="O46" s="35"/>
    </row>
    <row r="47" spans="1:16" x14ac:dyDescent="0.25">
      <c r="A47" s="42"/>
      <c r="B47" s="35"/>
      <c r="C47" s="35"/>
      <c r="E47" s="38"/>
      <c r="F47" s="28"/>
      <c r="G47" s="38"/>
      <c r="H47" s="28"/>
      <c r="I47" s="38"/>
      <c r="J47" s="38"/>
      <c r="K47" s="35"/>
      <c r="O47" s="35"/>
    </row>
    <row r="48" spans="1:16" x14ac:dyDescent="0.25">
      <c r="A48" s="43" t="s">
        <v>894</v>
      </c>
      <c r="B48" s="35"/>
      <c r="C48" s="35"/>
      <c r="E48" s="38"/>
      <c r="F48" s="28"/>
      <c r="G48" s="38"/>
      <c r="H48" s="28"/>
      <c r="I48" s="38"/>
      <c r="J48" s="38"/>
      <c r="K48" s="35"/>
      <c r="O48" s="35"/>
    </row>
    <row r="49" spans="1:15" x14ac:dyDescent="0.25">
      <c r="A49" s="42" t="s">
        <v>888</v>
      </c>
      <c r="B49" s="35"/>
      <c r="C49" s="35"/>
      <c r="E49" s="38"/>
      <c r="F49" s="28"/>
      <c r="G49" s="38"/>
      <c r="H49" s="28"/>
      <c r="I49" s="38"/>
      <c r="J49" s="38"/>
      <c r="K49" s="35"/>
      <c r="O49" s="35"/>
    </row>
    <row r="51" spans="1:15" x14ac:dyDescent="0.25">
      <c r="A51" s="43" t="s">
        <v>891</v>
      </c>
    </row>
    <row r="52" spans="1:15" x14ac:dyDescent="0.25">
      <c r="A52" s="31" t="s">
        <v>20</v>
      </c>
      <c r="B52" s="31" t="s">
        <v>823</v>
      </c>
      <c r="C52" s="31" t="s">
        <v>824</v>
      </c>
      <c r="D52" s="31" t="s">
        <v>826</v>
      </c>
      <c r="E52" s="31" t="s">
        <v>825</v>
      </c>
    </row>
    <row r="53" spans="1:15" x14ac:dyDescent="0.25">
      <c r="A53" s="47">
        <v>96</v>
      </c>
      <c r="B53" s="31">
        <v>0.08</v>
      </c>
      <c r="C53" s="31">
        <v>20</v>
      </c>
      <c r="D53" s="31">
        <v>30</v>
      </c>
      <c r="E53" s="31">
        <v>400</v>
      </c>
    </row>
    <row r="55" spans="1:15" x14ac:dyDescent="0.25">
      <c r="A55" s="41" t="s">
        <v>895</v>
      </c>
    </row>
    <row r="56" spans="1:15" x14ac:dyDescent="0.25">
      <c r="A56" s="31" t="s">
        <v>888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7" workbookViewId="0">
      <selection activeCell="D39" sqref="D39"/>
    </sheetView>
  </sheetViews>
  <sheetFormatPr baseColWidth="10" defaultColWidth="9.140625" defaultRowHeight="15" x14ac:dyDescent="0.25"/>
  <cols>
    <col min="1" max="1" width="11.28515625" style="31" bestFit="1" customWidth="1"/>
    <col min="2" max="2" width="6.42578125" style="31" bestFit="1" customWidth="1"/>
    <col min="3" max="3" width="5.7109375" style="31" bestFit="1" customWidth="1"/>
    <col min="4" max="4" width="7.85546875" style="31" bestFit="1" customWidth="1"/>
    <col min="5" max="5" width="7.85546875" style="31" customWidth="1"/>
    <col min="6" max="6" width="11.85546875" style="31" customWidth="1"/>
    <col min="7" max="7" width="21.42578125" style="31" customWidth="1"/>
    <col min="8" max="8" width="11.85546875" style="31" customWidth="1"/>
    <col min="9" max="9" width="5" style="31" customWidth="1"/>
    <col min="10" max="10" width="4.7109375" style="31" customWidth="1"/>
    <col min="11" max="11" width="9.42578125" style="31" bestFit="1" customWidth="1"/>
    <col min="12" max="16" width="9.42578125" style="31" customWidth="1"/>
    <col min="17" max="17" width="8.42578125" style="31" bestFit="1" customWidth="1"/>
    <col min="18" max="18" width="7.7109375" style="31" bestFit="1" customWidth="1"/>
    <col min="19" max="19" width="9.28515625" style="31" bestFit="1" customWidth="1"/>
    <col min="20" max="20" width="7.7109375" style="31" bestFit="1" customWidth="1"/>
    <col min="21" max="21" width="9.28515625" style="31" bestFit="1" customWidth="1"/>
    <col min="22" max="22" width="7.7109375" style="31" bestFit="1" customWidth="1"/>
    <col min="23" max="23" width="6.140625" style="31" bestFit="1" customWidth="1"/>
    <col min="24" max="24" width="7.7109375" style="31" bestFit="1" customWidth="1"/>
    <col min="25" max="25" width="6.140625" style="31" bestFit="1" customWidth="1"/>
    <col min="26" max="26" width="7.7109375" style="31" bestFit="1" customWidth="1"/>
    <col min="27" max="27" width="6.140625" style="31" bestFit="1" customWidth="1"/>
    <col min="28" max="28" width="7.7109375" style="31" bestFit="1" customWidth="1"/>
    <col min="29" max="16384" width="9.140625" style="31"/>
  </cols>
  <sheetData>
    <row r="1" spans="1:23" x14ac:dyDescent="0.25">
      <c r="A1" s="41" t="s">
        <v>887</v>
      </c>
    </row>
    <row r="2" spans="1:23" x14ac:dyDescent="0.25">
      <c r="A2" s="31" t="s">
        <v>888</v>
      </c>
    </row>
    <row r="4" spans="1:23" x14ac:dyDescent="0.25">
      <c r="A4" s="41" t="s">
        <v>889</v>
      </c>
      <c r="U4" s="33"/>
    </row>
    <row r="5" spans="1:23" x14ac:dyDescent="0.25">
      <c r="A5" s="31" t="s">
        <v>0</v>
      </c>
      <c r="B5" s="31" t="s">
        <v>12</v>
      </c>
      <c r="C5" s="31" t="s">
        <v>13</v>
      </c>
      <c r="D5" s="31" t="s">
        <v>4</v>
      </c>
      <c r="E5" s="31" t="s">
        <v>15</v>
      </c>
      <c r="F5" s="31" t="s">
        <v>854</v>
      </c>
      <c r="G5" s="31" t="s">
        <v>855</v>
      </c>
    </row>
    <row r="6" spans="1:23" x14ac:dyDescent="0.25">
      <c r="A6" s="31" t="s">
        <v>27</v>
      </c>
      <c r="B6" s="31">
        <v>0</v>
      </c>
      <c r="C6" s="31">
        <v>0</v>
      </c>
      <c r="D6" s="31" t="s">
        <v>27</v>
      </c>
      <c r="E6" s="47">
        <v>907.4</v>
      </c>
      <c r="F6" s="31">
        <v>320</v>
      </c>
      <c r="G6" s="31">
        <v>250</v>
      </c>
    </row>
    <row r="7" spans="1:23" x14ac:dyDescent="0.25">
      <c r="A7" s="31" t="s">
        <v>54</v>
      </c>
      <c r="B7" s="31">
        <v>0</v>
      </c>
      <c r="C7" s="31">
        <v>0</v>
      </c>
      <c r="D7" s="31" t="s">
        <v>28</v>
      </c>
      <c r="E7" s="47">
        <v>9.5</v>
      </c>
      <c r="F7" s="31">
        <v>320</v>
      </c>
      <c r="G7" s="31">
        <v>200</v>
      </c>
    </row>
    <row r="8" spans="1:23" x14ac:dyDescent="0.25">
      <c r="A8" s="31" t="s">
        <v>55</v>
      </c>
      <c r="B8" s="31">
        <v>0</v>
      </c>
      <c r="C8" s="31">
        <v>0</v>
      </c>
      <c r="D8" s="31" t="s">
        <v>28</v>
      </c>
      <c r="E8" s="47">
        <v>27.6</v>
      </c>
      <c r="F8" s="31">
        <v>320</v>
      </c>
      <c r="G8" s="31">
        <v>150</v>
      </c>
    </row>
    <row r="9" spans="1:23" x14ac:dyDescent="0.25">
      <c r="A9" s="31" t="s">
        <v>56</v>
      </c>
      <c r="B9" s="31">
        <v>0</v>
      </c>
      <c r="C9" s="31">
        <v>0</v>
      </c>
      <c r="D9" s="31" t="s">
        <v>28</v>
      </c>
      <c r="E9" s="47">
        <v>130.30000000000001</v>
      </c>
      <c r="F9" s="31">
        <v>320</v>
      </c>
      <c r="G9" s="31">
        <v>100</v>
      </c>
    </row>
    <row r="10" spans="1:23" x14ac:dyDescent="0.25">
      <c r="A10" s="31" t="s">
        <v>57</v>
      </c>
      <c r="B10" s="31">
        <v>0</v>
      </c>
      <c r="C10" s="31">
        <v>0</v>
      </c>
      <c r="D10" s="31" t="s">
        <v>28</v>
      </c>
      <c r="E10" s="47">
        <v>441.5</v>
      </c>
      <c r="F10" s="31">
        <v>320</v>
      </c>
      <c r="G10" s="31">
        <v>50</v>
      </c>
    </row>
    <row r="11" spans="1:23" x14ac:dyDescent="0.25">
      <c r="A11" s="31" t="s">
        <v>831</v>
      </c>
      <c r="B11" s="31">
        <v>0</v>
      </c>
      <c r="C11" s="31">
        <v>0</v>
      </c>
      <c r="D11" s="31" t="s">
        <v>831</v>
      </c>
      <c r="E11" s="47">
        <v>121</v>
      </c>
      <c r="F11" s="31">
        <v>320</v>
      </c>
      <c r="G11" s="31">
        <v>0</v>
      </c>
      <c r="U11" s="33"/>
      <c r="W11" s="33"/>
    </row>
    <row r="14" spans="1:23" x14ac:dyDescent="0.25">
      <c r="A14" s="41" t="s">
        <v>890</v>
      </c>
    </row>
    <row r="15" spans="1:23" x14ac:dyDescent="0.25">
      <c r="A15" s="31" t="s">
        <v>0</v>
      </c>
      <c r="B15" s="34" t="s">
        <v>12</v>
      </c>
      <c r="C15" s="36" t="s">
        <v>13</v>
      </c>
      <c r="D15" s="31" t="s">
        <v>1</v>
      </c>
      <c r="E15" s="34" t="s">
        <v>64</v>
      </c>
      <c r="F15" s="31" t="s">
        <v>65</v>
      </c>
      <c r="G15" s="34" t="s">
        <v>857</v>
      </c>
      <c r="H15" s="31" t="s">
        <v>827</v>
      </c>
      <c r="I15" s="34" t="s">
        <v>854</v>
      </c>
      <c r="J15" s="35" t="s">
        <v>855</v>
      </c>
      <c r="K15" s="34" t="s">
        <v>21</v>
      </c>
      <c r="L15" s="31" t="s">
        <v>24</v>
      </c>
      <c r="M15" s="31" t="s">
        <v>25</v>
      </c>
      <c r="N15" s="31" t="s">
        <v>26</v>
      </c>
      <c r="O15" s="34" t="s">
        <v>16</v>
      </c>
      <c r="P15" s="31" t="s">
        <v>17</v>
      </c>
      <c r="Q15" s="31" t="s">
        <v>2</v>
      </c>
      <c r="R15" s="31" t="s">
        <v>3</v>
      </c>
      <c r="S15" s="31" t="s">
        <v>42</v>
      </c>
      <c r="T15" s="31" t="s">
        <v>43</v>
      </c>
    </row>
    <row r="16" spans="1:23" x14ac:dyDescent="0.25">
      <c r="A16" s="31" t="s">
        <v>9</v>
      </c>
      <c r="B16" s="34">
        <v>0</v>
      </c>
      <c r="C16" s="36">
        <v>0</v>
      </c>
      <c r="D16" s="33">
        <v>0.93</v>
      </c>
      <c r="E16" s="37">
        <v>0</v>
      </c>
      <c r="F16" s="28">
        <v>999999</v>
      </c>
      <c r="G16" s="37">
        <v>0</v>
      </c>
      <c r="H16" s="28">
        <v>0</v>
      </c>
      <c r="I16" s="37">
        <v>80</v>
      </c>
      <c r="J16" s="38">
        <v>300</v>
      </c>
      <c r="K16" s="34" t="s">
        <v>10</v>
      </c>
      <c r="L16" s="31">
        <v>1</v>
      </c>
      <c r="O16" s="34" t="s">
        <v>8</v>
      </c>
      <c r="P16" s="31">
        <v>0.27956989247311831</v>
      </c>
      <c r="Q16" s="31" t="s">
        <v>29</v>
      </c>
      <c r="R16" s="31">
        <v>0.58064516129032262</v>
      </c>
      <c r="S16" s="31" t="s">
        <v>831</v>
      </c>
      <c r="T16" s="31">
        <v>0.13978494623655915</v>
      </c>
    </row>
    <row r="17" spans="1:20" x14ac:dyDescent="0.25">
      <c r="A17" s="31" t="s">
        <v>832</v>
      </c>
      <c r="B17" s="34">
        <v>0</v>
      </c>
      <c r="C17" s="36">
        <v>0</v>
      </c>
      <c r="D17" s="33">
        <v>0.93</v>
      </c>
      <c r="E17" s="34">
        <v>0</v>
      </c>
      <c r="F17" s="31">
        <v>999999</v>
      </c>
      <c r="G17" s="34">
        <v>0</v>
      </c>
      <c r="H17" s="28">
        <v>0</v>
      </c>
      <c r="I17" s="37">
        <v>80</v>
      </c>
      <c r="J17" s="38">
        <v>250</v>
      </c>
      <c r="K17" s="34" t="s">
        <v>10</v>
      </c>
      <c r="L17" s="31">
        <v>1</v>
      </c>
      <c r="O17" s="34" t="s">
        <v>8</v>
      </c>
      <c r="P17" s="31">
        <v>0.32520325203252037</v>
      </c>
      <c r="Q17" s="31" t="s">
        <v>29</v>
      </c>
      <c r="R17" s="31">
        <v>0.67479674796747968</v>
      </c>
    </row>
    <row r="18" spans="1:20" x14ac:dyDescent="0.25">
      <c r="A18" s="31" t="s">
        <v>860</v>
      </c>
      <c r="B18" s="34">
        <v>0</v>
      </c>
      <c r="C18" s="36">
        <v>0</v>
      </c>
      <c r="D18" s="33">
        <f>53.4/(53.6+0.93)</f>
        <v>0.97927746194755172</v>
      </c>
      <c r="E18" s="34">
        <v>0</v>
      </c>
      <c r="F18" s="31">
        <v>999999</v>
      </c>
      <c r="G18" s="34">
        <v>0</v>
      </c>
      <c r="H18" s="31">
        <v>0</v>
      </c>
      <c r="I18" s="34">
        <v>80</v>
      </c>
      <c r="J18" s="38">
        <v>225</v>
      </c>
      <c r="K18" s="34" t="s">
        <v>859</v>
      </c>
      <c r="L18" s="31">
        <v>1</v>
      </c>
      <c r="O18" s="34" t="s">
        <v>861</v>
      </c>
      <c r="P18" s="31">
        <v>1</v>
      </c>
    </row>
    <row r="19" spans="1:20" x14ac:dyDescent="0.25">
      <c r="A19" s="31" t="s">
        <v>31</v>
      </c>
      <c r="B19" s="34">
        <v>0</v>
      </c>
      <c r="C19" s="36">
        <v>0</v>
      </c>
      <c r="D19" s="33">
        <v>0.54</v>
      </c>
      <c r="E19" s="37">
        <v>0</v>
      </c>
      <c r="F19" s="28">
        <v>999999</v>
      </c>
      <c r="G19" s="37">
        <v>0</v>
      </c>
      <c r="H19" s="28">
        <v>0</v>
      </c>
      <c r="I19" s="37">
        <v>80</v>
      </c>
      <c r="J19" s="38">
        <v>150</v>
      </c>
      <c r="K19" s="34" t="s">
        <v>19</v>
      </c>
      <c r="L19" s="31">
        <v>1</v>
      </c>
      <c r="O19" s="34" t="s">
        <v>29</v>
      </c>
      <c r="P19" s="31">
        <v>1</v>
      </c>
    </row>
    <row r="20" spans="1:20" x14ac:dyDescent="0.25">
      <c r="A20" s="31" t="s">
        <v>30</v>
      </c>
      <c r="B20" s="34">
        <v>0</v>
      </c>
      <c r="C20" s="36">
        <v>0</v>
      </c>
      <c r="D20" s="33">
        <v>0.54</v>
      </c>
      <c r="E20" s="37">
        <v>0</v>
      </c>
      <c r="F20" s="28">
        <v>999999</v>
      </c>
      <c r="G20" s="37">
        <v>0</v>
      </c>
      <c r="H20" s="28">
        <v>0</v>
      </c>
      <c r="I20" s="37">
        <v>80</v>
      </c>
      <c r="J20" s="38">
        <v>200</v>
      </c>
      <c r="K20" s="34" t="s">
        <v>19</v>
      </c>
      <c r="L20" s="31">
        <v>1</v>
      </c>
      <c r="O20" s="34" t="s">
        <v>8</v>
      </c>
      <c r="P20" s="31">
        <v>1</v>
      </c>
    </row>
    <row r="21" spans="1:20" x14ac:dyDescent="0.25">
      <c r="A21" s="31" t="s">
        <v>862</v>
      </c>
      <c r="B21" s="34">
        <v>0</v>
      </c>
      <c r="C21" s="36">
        <v>0</v>
      </c>
      <c r="D21" s="33">
        <v>0.52800000000000002</v>
      </c>
      <c r="E21" s="37">
        <v>0</v>
      </c>
      <c r="F21" s="28">
        <v>999999</v>
      </c>
      <c r="G21" s="37">
        <v>0</v>
      </c>
      <c r="H21" s="28">
        <v>0</v>
      </c>
      <c r="I21" s="37">
        <v>80</v>
      </c>
      <c r="J21" s="38">
        <v>175</v>
      </c>
      <c r="K21" s="34" t="s">
        <v>19</v>
      </c>
      <c r="L21" s="31">
        <v>1</v>
      </c>
      <c r="O21" s="34" t="s">
        <v>861</v>
      </c>
      <c r="P21" s="31">
        <v>1</v>
      </c>
    </row>
    <row r="22" spans="1:20" x14ac:dyDescent="0.25">
      <c r="A22" s="31" t="s">
        <v>899</v>
      </c>
      <c r="B22" s="34">
        <v>0</v>
      </c>
      <c r="C22" s="36">
        <v>0</v>
      </c>
      <c r="D22" s="33">
        <f>0.66*(1328/1574)</f>
        <v>0.55684879288437106</v>
      </c>
      <c r="E22" s="37">
        <v>0</v>
      </c>
      <c r="F22" s="44">
        <v>50</v>
      </c>
      <c r="G22" s="37">
        <v>0</v>
      </c>
      <c r="H22" s="44">
        <v>0</v>
      </c>
      <c r="I22" s="45"/>
      <c r="J22" s="46"/>
      <c r="K22" s="34" t="s">
        <v>19</v>
      </c>
      <c r="L22" s="31">
        <v>1</v>
      </c>
      <c r="O22" s="34" t="s">
        <v>8</v>
      </c>
      <c r="P22" s="31">
        <v>1</v>
      </c>
    </row>
    <row r="23" spans="1:20" x14ac:dyDescent="0.25">
      <c r="A23" s="31" t="s">
        <v>900</v>
      </c>
      <c r="B23" s="34">
        <v>0</v>
      </c>
      <c r="C23" s="36">
        <v>0</v>
      </c>
      <c r="D23" s="33">
        <f>0.66*(638/767)</f>
        <v>0.54899608865710559</v>
      </c>
      <c r="E23" s="37">
        <v>0</v>
      </c>
      <c r="F23" s="44">
        <v>50</v>
      </c>
      <c r="G23" s="37">
        <v>0</v>
      </c>
      <c r="H23" s="44">
        <v>0</v>
      </c>
      <c r="I23" s="45"/>
      <c r="J23" s="46"/>
      <c r="K23" s="34" t="s">
        <v>19</v>
      </c>
      <c r="L23" s="31">
        <v>1</v>
      </c>
      <c r="O23" s="34" t="s">
        <v>29</v>
      </c>
      <c r="P23" s="31">
        <v>1</v>
      </c>
    </row>
    <row r="24" spans="1:20" x14ac:dyDescent="0.25">
      <c r="A24" s="31" t="s">
        <v>11</v>
      </c>
      <c r="B24" s="34">
        <v>0</v>
      </c>
      <c r="C24" s="36">
        <v>0</v>
      </c>
      <c r="D24" s="33">
        <f>650/(746+59.3)</f>
        <v>0.80715261393269588</v>
      </c>
      <c r="E24" s="37">
        <v>0</v>
      </c>
      <c r="F24" s="28">
        <v>999999</v>
      </c>
      <c r="G24" s="37">
        <v>43.1</v>
      </c>
      <c r="H24" s="33">
        <f>44/650</f>
        <v>6.7692307692307691E-2</v>
      </c>
      <c r="I24" s="37">
        <v>80</v>
      </c>
      <c r="J24" s="38">
        <v>100</v>
      </c>
      <c r="K24" s="34" t="s">
        <v>7</v>
      </c>
      <c r="L24" s="33">
        <f>746/(746+59.3)</f>
        <v>0.92636284614429409</v>
      </c>
      <c r="M24" s="31" t="s">
        <v>830</v>
      </c>
      <c r="N24" s="33">
        <f>1-L24</f>
        <v>7.3637153855705906E-2</v>
      </c>
      <c r="O24" s="34" t="s">
        <v>8</v>
      </c>
      <c r="P24" s="31">
        <v>1</v>
      </c>
    </row>
    <row r="25" spans="1:20" x14ac:dyDescent="0.25">
      <c r="A25" s="31" t="s">
        <v>833</v>
      </c>
      <c r="B25" s="34">
        <v>0</v>
      </c>
      <c r="C25" s="36">
        <v>0</v>
      </c>
      <c r="D25" s="33">
        <f>(8.9+19.9)/(34.2+3.5)</f>
        <v>0.76392572944297066</v>
      </c>
      <c r="E25" s="37">
        <v>0</v>
      </c>
      <c r="F25" s="28">
        <v>999999</v>
      </c>
      <c r="G25" s="37">
        <v>43.1</v>
      </c>
      <c r="H25" s="33">
        <f>3.88/(8.9+19.9)</f>
        <v>0.13472222222222224</v>
      </c>
      <c r="I25" s="37">
        <v>80</v>
      </c>
      <c r="J25" s="38">
        <v>50</v>
      </c>
      <c r="K25" s="34" t="s">
        <v>7</v>
      </c>
      <c r="L25" s="33">
        <f>34.2/(34.2+3.5)</f>
        <v>0.90716180371352784</v>
      </c>
      <c r="M25" s="31" t="s">
        <v>830</v>
      </c>
      <c r="N25" s="33">
        <f t="shared" ref="N25:N29" si="0">1-L25</f>
        <v>9.2838196286472163E-2</v>
      </c>
      <c r="O25" s="34" t="s">
        <v>8</v>
      </c>
      <c r="P25" s="33">
        <f>8.9/(8.9+19.9)</f>
        <v>0.30902777777777785</v>
      </c>
      <c r="Q25" s="31" t="s">
        <v>29</v>
      </c>
      <c r="R25" s="33">
        <v>0.6909722222222221</v>
      </c>
    </row>
    <row r="26" spans="1:20" x14ac:dyDescent="0.25">
      <c r="A26" s="31" t="s">
        <v>834</v>
      </c>
      <c r="B26" s="34">
        <v>0</v>
      </c>
      <c r="C26" s="36">
        <v>0</v>
      </c>
      <c r="D26" s="33">
        <f>((14700+43500+1800)/3600*43)/(30600/3600*120)</f>
        <v>0.70261437908496738</v>
      </c>
      <c r="E26" s="37">
        <v>0</v>
      </c>
      <c r="F26" s="28">
        <v>999999</v>
      </c>
      <c r="G26" s="37">
        <v>43.1</v>
      </c>
      <c r="H26" s="33">
        <f>3.88/(8.9+19.9)</f>
        <v>0.13472222222222224</v>
      </c>
      <c r="I26" s="37">
        <v>80</v>
      </c>
      <c r="J26" s="38">
        <v>0</v>
      </c>
      <c r="K26" s="34" t="s">
        <v>7</v>
      </c>
      <c r="L26" s="33">
        <f>34.2/(34.2+3.5)</f>
        <v>0.90716180371352784</v>
      </c>
      <c r="M26" s="31" t="s">
        <v>830</v>
      </c>
      <c r="N26" s="33">
        <f t="shared" si="0"/>
        <v>9.2838196286472163E-2</v>
      </c>
      <c r="O26" s="34" t="s">
        <v>8</v>
      </c>
      <c r="P26" s="33">
        <f>14.7/(14.7+1.8+43.5)</f>
        <v>0.245</v>
      </c>
      <c r="Q26" s="31" t="s">
        <v>29</v>
      </c>
      <c r="R26" s="33">
        <f>1.8/(14.7+1.8+43.5)</f>
        <v>3.0000000000000002E-2</v>
      </c>
      <c r="S26" s="31" t="s">
        <v>831</v>
      </c>
      <c r="T26" s="33">
        <f>1-P26-R26</f>
        <v>0.72499999999999998</v>
      </c>
    </row>
    <row r="27" spans="1:20" x14ac:dyDescent="0.25">
      <c r="A27" s="31" t="s">
        <v>863</v>
      </c>
      <c r="B27" s="34">
        <v>0</v>
      </c>
      <c r="C27" s="36">
        <v>0</v>
      </c>
      <c r="D27" s="33">
        <f>12.54/(15.08+0.35)</f>
        <v>0.81270252754374595</v>
      </c>
      <c r="E27" s="37">
        <v>0</v>
      </c>
      <c r="F27" s="28">
        <v>999999</v>
      </c>
      <c r="G27" s="37">
        <v>43.1</v>
      </c>
      <c r="H27" s="33">
        <f>0.69/12.54</f>
        <v>5.5023923444976079E-2</v>
      </c>
      <c r="I27" s="37">
        <v>80</v>
      </c>
      <c r="J27" s="38">
        <v>125</v>
      </c>
      <c r="K27" s="34" t="s">
        <v>7</v>
      </c>
      <c r="L27" s="33">
        <f>15.08/(15.08+0.35)</f>
        <v>0.97731691510045371</v>
      </c>
      <c r="M27" s="31" t="s">
        <v>830</v>
      </c>
      <c r="N27" s="33">
        <f t="shared" si="0"/>
        <v>2.2683084899546291E-2</v>
      </c>
      <c r="O27" s="34" t="s">
        <v>861</v>
      </c>
      <c r="P27" s="31">
        <v>1</v>
      </c>
    </row>
    <row r="28" spans="1:20" x14ac:dyDescent="0.25">
      <c r="A28" s="31" t="s">
        <v>901</v>
      </c>
      <c r="B28" s="34">
        <v>0</v>
      </c>
      <c r="C28" s="36">
        <v>0</v>
      </c>
      <c r="D28" s="33">
        <f>19.92/(22.55+1.02)</f>
        <v>0.84514212982605008</v>
      </c>
      <c r="E28" s="37">
        <v>0</v>
      </c>
      <c r="F28" s="44">
        <v>50</v>
      </c>
      <c r="G28" s="37">
        <v>19.899999999999999</v>
      </c>
      <c r="H28" s="33">
        <f>1.37/19.9</f>
        <v>6.8844221105527653E-2</v>
      </c>
      <c r="I28" s="45"/>
      <c r="J28" s="46"/>
      <c r="K28" s="34" t="s">
        <v>7</v>
      </c>
      <c r="L28" s="33">
        <f>22.55/(22.55+1.02)</f>
        <v>0.95672464997878659</v>
      </c>
      <c r="M28" s="31" t="s">
        <v>830</v>
      </c>
      <c r="N28" s="33">
        <f>1-L28</f>
        <v>4.327535002121341E-2</v>
      </c>
      <c r="O28" s="34" t="s">
        <v>8</v>
      </c>
      <c r="P28" s="31">
        <v>1</v>
      </c>
    </row>
    <row r="29" spans="1:20" x14ac:dyDescent="0.25">
      <c r="A29" s="31" t="s">
        <v>902</v>
      </c>
      <c r="B29" s="34">
        <v>0</v>
      </c>
      <c r="C29" s="36">
        <v>0</v>
      </c>
      <c r="D29" s="33">
        <f>28.84/(31.67+2.13)</f>
        <v>0.85325443786982236</v>
      </c>
      <c r="E29" s="37">
        <v>0</v>
      </c>
      <c r="F29" s="44">
        <v>50</v>
      </c>
      <c r="G29" s="37">
        <v>28.835000000000001</v>
      </c>
      <c r="H29" s="33">
        <f>1.93/28.84</f>
        <v>6.6920943134535366E-2</v>
      </c>
      <c r="I29" s="45"/>
      <c r="J29" s="46"/>
      <c r="K29" s="34" t="s">
        <v>7</v>
      </c>
      <c r="L29" s="33">
        <f>31.67/(31.67+2.13)</f>
        <v>0.93698224852070999</v>
      </c>
      <c r="M29" s="31" t="s">
        <v>830</v>
      </c>
      <c r="N29" s="33">
        <f>1-L29</f>
        <v>6.3017751479290007E-2</v>
      </c>
      <c r="O29" s="34" t="s">
        <v>29</v>
      </c>
      <c r="P29" s="31">
        <v>1</v>
      </c>
    </row>
    <row r="30" spans="1:20" x14ac:dyDescent="0.25">
      <c r="A30" s="31" t="s">
        <v>50</v>
      </c>
      <c r="B30" s="34">
        <v>0</v>
      </c>
      <c r="C30" s="36">
        <v>0</v>
      </c>
      <c r="D30" s="49">
        <f>1.5/1.9</f>
        <v>0.78947368421052633</v>
      </c>
      <c r="E30" s="37">
        <v>0</v>
      </c>
      <c r="F30" s="28">
        <v>400</v>
      </c>
      <c r="G30" s="37">
        <v>0</v>
      </c>
      <c r="H30" s="28">
        <v>0</v>
      </c>
      <c r="I30" s="37">
        <v>240</v>
      </c>
      <c r="J30" s="38">
        <v>300</v>
      </c>
      <c r="K30" s="34" t="s">
        <v>8</v>
      </c>
      <c r="L30" s="31">
        <v>1</v>
      </c>
      <c r="O30" s="34" t="s">
        <v>27</v>
      </c>
      <c r="P30" s="31">
        <v>1</v>
      </c>
    </row>
    <row r="31" spans="1:20" x14ac:dyDescent="0.25">
      <c r="A31" s="31" t="s">
        <v>51</v>
      </c>
      <c r="B31" s="34">
        <v>0</v>
      </c>
      <c r="C31" s="36">
        <v>0</v>
      </c>
      <c r="D31" s="49">
        <f>1.5/1.8</f>
        <v>0.83333333333333326</v>
      </c>
      <c r="E31" s="37">
        <v>0</v>
      </c>
      <c r="F31" s="28">
        <v>999999</v>
      </c>
      <c r="G31" s="37">
        <v>0</v>
      </c>
      <c r="H31" s="28">
        <v>0</v>
      </c>
      <c r="I31" s="37">
        <v>240</v>
      </c>
      <c r="J31" s="38">
        <v>250</v>
      </c>
      <c r="K31" s="34" t="s">
        <v>29</v>
      </c>
      <c r="L31" s="31">
        <v>1</v>
      </c>
      <c r="O31" s="34" t="s">
        <v>27</v>
      </c>
      <c r="P31" s="31">
        <v>1</v>
      </c>
    </row>
    <row r="32" spans="1:20" x14ac:dyDescent="0.25">
      <c r="A32" s="31" t="s">
        <v>44</v>
      </c>
      <c r="B32" s="34">
        <v>0</v>
      </c>
      <c r="C32" s="36">
        <v>0</v>
      </c>
      <c r="D32" s="49">
        <f>0.2/2.2</f>
        <v>9.0909090909090912E-2</v>
      </c>
      <c r="E32" s="37">
        <v>0</v>
      </c>
      <c r="F32" s="28">
        <v>999999</v>
      </c>
      <c r="G32" s="37">
        <v>0</v>
      </c>
      <c r="H32" s="28">
        <v>0</v>
      </c>
      <c r="I32" s="37">
        <v>240</v>
      </c>
      <c r="J32" s="38">
        <v>200</v>
      </c>
      <c r="K32" s="34" t="s">
        <v>29</v>
      </c>
      <c r="L32" s="31">
        <v>1</v>
      </c>
      <c r="O32" s="34" t="s">
        <v>28</v>
      </c>
      <c r="P32" s="31">
        <v>1</v>
      </c>
    </row>
    <row r="33" spans="1:16" x14ac:dyDescent="0.25">
      <c r="A33" s="31" t="s">
        <v>45</v>
      </c>
      <c r="B33" s="34">
        <v>0</v>
      </c>
      <c r="C33" s="36">
        <v>0</v>
      </c>
      <c r="D33" s="49">
        <f>2.7/3.9</f>
        <v>0.6923076923076924</v>
      </c>
      <c r="E33" s="37">
        <v>0</v>
      </c>
      <c r="F33" s="28">
        <v>999999</v>
      </c>
      <c r="G33" s="37">
        <v>0</v>
      </c>
      <c r="H33" s="28">
        <v>0</v>
      </c>
      <c r="I33" s="37">
        <v>240</v>
      </c>
      <c r="J33" s="38">
        <v>150</v>
      </c>
      <c r="K33" s="34" t="s">
        <v>29</v>
      </c>
      <c r="L33" s="31">
        <v>1</v>
      </c>
      <c r="O33" s="34" t="s">
        <v>28</v>
      </c>
      <c r="P33" s="31">
        <v>1</v>
      </c>
    </row>
    <row r="34" spans="1:16" x14ac:dyDescent="0.25">
      <c r="A34" s="31" t="s">
        <v>58</v>
      </c>
      <c r="B34" s="34">
        <v>0</v>
      </c>
      <c r="C34" s="36">
        <v>0</v>
      </c>
      <c r="D34" s="49">
        <f>5.5/7.8</f>
        <v>0.70512820512820518</v>
      </c>
      <c r="E34" s="37">
        <v>0</v>
      </c>
      <c r="F34" s="28">
        <v>999999</v>
      </c>
      <c r="G34" s="37">
        <v>0</v>
      </c>
      <c r="H34" s="28">
        <v>0</v>
      </c>
      <c r="I34" s="37">
        <v>240</v>
      </c>
      <c r="J34" s="38">
        <v>100</v>
      </c>
      <c r="K34" s="34" t="s">
        <v>29</v>
      </c>
      <c r="L34" s="31">
        <v>1</v>
      </c>
      <c r="O34" s="34" t="s">
        <v>28</v>
      </c>
      <c r="P34" s="31">
        <v>1</v>
      </c>
    </row>
    <row r="35" spans="1:16" x14ac:dyDescent="0.25">
      <c r="A35" s="31" t="s">
        <v>59</v>
      </c>
      <c r="B35" s="34">
        <v>0</v>
      </c>
      <c r="C35" s="36">
        <v>0</v>
      </c>
      <c r="D35" s="49">
        <f>13.5/8.8</f>
        <v>1.5340909090909089</v>
      </c>
      <c r="E35" s="37">
        <v>0</v>
      </c>
      <c r="F35" s="28">
        <v>999999</v>
      </c>
      <c r="G35" s="37">
        <v>0</v>
      </c>
      <c r="H35" s="28">
        <v>0</v>
      </c>
      <c r="I35" s="37">
        <v>240</v>
      </c>
      <c r="J35" s="38">
        <v>50</v>
      </c>
      <c r="K35" s="34" t="s">
        <v>29</v>
      </c>
      <c r="L35" s="31">
        <v>1</v>
      </c>
      <c r="O35" s="34" t="s">
        <v>28</v>
      </c>
      <c r="P35" s="31">
        <v>1</v>
      </c>
    </row>
    <row r="36" spans="1:16" x14ac:dyDescent="0.25">
      <c r="A36" s="31" t="s">
        <v>864</v>
      </c>
      <c r="B36" s="34">
        <v>0</v>
      </c>
      <c r="C36" s="36">
        <v>0</v>
      </c>
      <c r="D36" s="49">
        <f>1.5/2</f>
        <v>0.75</v>
      </c>
      <c r="E36" s="37">
        <v>0</v>
      </c>
      <c r="F36" s="48">
        <v>90</v>
      </c>
      <c r="G36" s="37">
        <v>0</v>
      </c>
      <c r="H36" s="28">
        <v>0</v>
      </c>
      <c r="I36" s="37">
        <v>240</v>
      </c>
      <c r="J36" s="38">
        <v>75</v>
      </c>
      <c r="K36" s="34" t="s">
        <v>861</v>
      </c>
      <c r="L36" s="31">
        <v>1</v>
      </c>
      <c r="O36" s="34" t="s">
        <v>27</v>
      </c>
      <c r="P36" s="31">
        <v>1</v>
      </c>
    </row>
    <row r="37" spans="1:16" x14ac:dyDescent="0.25">
      <c r="A37" s="31" t="s">
        <v>865</v>
      </c>
      <c r="B37" s="34">
        <v>0</v>
      </c>
      <c r="C37" s="36">
        <v>0</v>
      </c>
      <c r="D37" s="49">
        <f>20/240</f>
        <v>8.3333333333333329E-2</v>
      </c>
      <c r="E37" s="37">
        <v>0</v>
      </c>
      <c r="F37" s="48">
        <v>0.95</v>
      </c>
      <c r="G37" s="37">
        <v>0</v>
      </c>
      <c r="H37" s="28">
        <v>0</v>
      </c>
      <c r="I37" s="37">
        <v>240</v>
      </c>
      <c r="J37" s="38">
        <v>125</v>
      </c>
      <c r="K37" s="34" t="s">
        <v>861</v>
      </c>
      <c r="L37" s="31">
        <v>1</v>
      </c>
      <c r="O37" s="34" t="s">
        <v>28</v>
      </c>
      <c r="P37" s="31">
        <v>1</v>
      </c>
    </row>
    <row r="38" spans="1:16" x14ac:dyDescent="0.25">
      <c r="A38" s="31" t="s">
        <v>866</v>
      </c>
      <c r="B38" s="34">
        <v>0</v>
      </c>
      <c r="C38" s="36">
        <v>0</v>
      </c>
      <c r="D38" s="49">
        <f>270/540</f>
        <v>0.5</v>
      </c>
      <c r="E38" s="37">
        <v>0</v>
      </c>
      <c r="F38" s="48">
        <v>2.76</v>
      </c>
      <c r="G38" s="37">
        <v>0</v>
      </c>
      <c r="H38" s="28">
        <v>0</v>
      </c>
      <c r="I38" s="37">
        <v>240</v>
      </c>
      <c r="J38" s="38">
        <v>175</v>
      </c>
      <c r="K38" s="34" t="s">
        <v>861</v>
      </c>
      <c r="L38" s="31">
        <v>1</v>
      </c>
      <c r="O38" s="34" t="s">
        <v>28</v>
      </c>
      <c r="P38" s="31">
        <v>1</v>
      </c>
    </row>
    <row r="39" spans="1:16" x14ac:dyDescent="0.25">
      <c r="A39" s="31" t="s">
        <v>867</v>
      </c>
      <c r="B39" s="34">
        <v>0</v>
      </c>
      <c r="C39" s="36">
        <v>0</v>
      </c>
      <c r="D39" s="49">
        <f>550/900</f>
        <v>0.61111111111111116</v>
      </c>
      <c r="E39" s="37">
        <v>0</v>
      </c>
      <c r="F39" s="48">
        <v>13.03</v>
      </c>
      <c r="G39" s="37">
        <v>0</v>
      </c>
      <c r="H39" s="28">
        <v>0</v>
      </c>
      <c r="I39" s="37">
        <v>240</v>
      </c>
      <c r="J39" s="38">
        <v>225</v>
      </c>
      <c r="K39" s="34" t="s">
        <v>861</v>
      </c>
      <c r="L39" s="31">
        <v>1</v>
      </c>
      <c r="O39" s="34" t="s">
        <v>28</v>
      </c>
      <c r="P39" s="31">
        <v>1</v>
      </c>
    </row>
    <row r="40" spans="1:16" x14ac:dyDescent="0.25">
      <c r="A40" s="31" t="s">
        <v>868</v>
      </c>
      <c r="B40" s="34">
        <v>0</v>
      </c>
      <c r="C40" s="36">
        <v>0</v>
      </c>
      <c r="D40" s="49">
        <f>1350/1020</f>
        <v>1.3235294117647058</v>
      </c>
      <c r="E40" s="37">
        <v>0</v>
      </c>
      <c r="F40" s="48">
        <v>44.15</v>
      </c>
      <c r="G40" s="37">
        <v>0</v>
      </c>
      <c r="H40" s="28">
        <v>0</v>
      </c>
      <c r="I40" s="37">
        <v>240</v>
      </c>
      <c r="J40" s="38">
        <v>275</v>
      </c>
      <c r="K40" s="34" t="s">
        <v>861</v>
      </c>
      <c r="L40" s="31">
        <v>1</v>
      </c>
      <c r="O40" s="34" t="s">
        <v>28</v>
      </c>
      <c r="P40" s="31">
        <v>1</v>
      </c>
    </row>
    <row r="41" spans="1:16" x14ac:dyDescent="0.25">
      <c r="B41" s="35"/>
      <c r="C41" s="35"/>
      <c r="E41" s="38"/>
      <c r="F41" s="28"/>
      <c r="G41" s="38"/>
      <c r="H41" s="28"/>
      <c r="I41" s="38"/>
      <c r="J41" s="38"/>
      <c r="K41" s="35"/>
      <c r="O41" s="35"/>
    </row>
    <row r="42" spans="1:16" x14ac:dyDescent="0.25">
      <c r="A42" s="43" t="s">
        <v>892</v>
      </c>
      <c r="B42" s="35"/>
      <c r="C42" s="35"/>
      <c r="E42" s="38"/>
      <c r="F42" s="28"/>
      <c r="G42" s="38"/>
      <c r="H42" s="28"/>
      <c r="I42" s="38"/>
      <c r="J42" s="38"/>
      <c r="K42" s="35"/>
      <c r="O42" s="35"/>
    </row>
    <row r="43" spans="1:16" x14ac:dyDescent="0.25">
      <c r="A43" s="50" t="s">
        <v>898</v>
      </c>
      <c r="B43" s="50"/>
      <c r="C43" s="35"/>
      <c r="E43" s="38"/>
      <c r="F43" s="28"/>
      <c r="G43" s="38"/>
      <c r="H43" s="28"/>
      <c r="I43" s="38"/>
      <c r="J43" s="38"/>
      <c r="K43" s="35"/>
      <c r="O43" s="35"/>
    </row>
    <row r="44" spans="1:16" x14ac:dyDescent="0.25">
      <c r="A44" s="42"/>
      <c r="B44" s="35"/>
      <c r="C44" s="35"/>
      <c r="E44" s="38"/>
      <c r="F44" s="28"/>
      <c r="G44" s="38"/>
      <c r="H44" s="28"/>
      <c r="I44" s="38"/>
      <c r="J44" s="38"/>
      <c r="K44" s="35"/>
      <c r="O44" s="35"/>
    </row>
    <row r="45" spans="1:16" x14ac:dyDescent="0.25">
      <c r="A45" s="43" t="s">
        <v>893</v>
      </c>
      <c r="B45" s="35"/>
      <c r="C45" s="35"/>
      <c r="E45" s="38"/>
      <c r="F45" s="28"/>
      <c r="G45" s="38"/>
      <c r="H45" s="28"/>
      <c r="I45" s="38"/>
      <c r="J45" s="38"/>
      <c r="K45" s="35"/>
      <c r="O45" s="35"/>
    </row>
    <row r="46" spans="1:16" x14ac:dyDescent="0.25">
      <c r="A46" s="42" t="s">
        <v>888</v>
      </c>
      <c r="B46" s="35"/>
      <c r="C46" s="35"/>
      <c r="E46" s="38"/>
      <c r="F46" s="28"/>
      <c r="G46" s="38"/>
      <c r="H46" s="28"/>
      <c r="I46" s="38"/>
      <c r="J46" s="38"/>
      <c r="K46" s="35"/>
      <c r="O46" s="35"/>
    </row>
    <row r="47" spans="1:16" x14ac:dyDescent="0.25">
      <c r="A47" s="42"/>
      <c r="B47" s="35"/>
      <c r="C47" s="35"/>
      <c r="E47" s="38"/>
      <c r="F47" s="28"/>
      <c r="G47" s="38"/>
      <c r="H47" s="28"/>
      <c r="I47" s="38"/>
      <c r="J47" s="38"/>
      <c r="K47" s="35"/>
      <c r="O47" s="35"/>
    </row>
    <row r="48" spans="1:16" x14ac:dyDescent="0.25">
      <c r="A48" s="43" t="s">
        <v>894</v>
      </c>
      <c r="B48" s="35"/>
      <c r="C48" s="35"/>
      <c r="E48" s="38"/>
      <c r="F48" s="28"/>
      <c r="G48" s="38"/>
      <c r="H48" s="28"/>
      <c r="I48" s="38"/>
      <c r="J48" s="38"/>
      <c r="K48" s="35"/>
      <c r="O48" s="35"/>
    </row>
    <row r="49" spans="1:15" x14ac:dyDescent="0.25">
      <c r="A49" s="42" t="s">
        <v>888</v>
      </c>
      <c r="B49" s="35"/>
      <c r="C49" s="35"/>
      <c r="E49" s="38"/>
      <c r="F49" s="28"/>
      <c r="G49" s="38"/>
      <c r="H49" s="28"/>
      <c r="I49" s="38"/>
      <c r="J49" s="38"/>
      <c r="K49" s="35"/>
      <c r="O49" s="35"/>
    </row>
    <row r="51" spans="1:15" x14ac:dyDescent="0.25">
      <c r="A51" s="43" t="s">
        <v>891</v>
      </c>
    </row>
    <row r="52" spans="1:15" x14ac:dyDescent="0.25">
      <c r="A52" s="31" t="s">
        <v>20</v>
      </c>
      <c r="B52" s="31" t="s">
        <v>823</v>
      </c>
      <c r="C52" s="31" t="s">
        <v>824</v>
      </c>
      <c r="D52" s="31" t="s">
        <v>826</v>
      </c>
      <c r="E52" s="31" t="s">
        <v>825</v>
      </c>
    </row>
    <row r="53" spans="1:15" x14ac:dyDescent="0.25">
      <c r="A53" s="47">
        <v>96</v>
      </c>
      <c r="B53" s="31">
        <v>0.08</v>
      </c>
      <c r="C53" s="31">
        <v>20</v>
      </c>
      <c r="D53" s="31">
        <v>30</v>
      </c>
      <c r="E53" s="31">
        <v>400</v>
      </c>
    </row>
    <row r="55" spans="1:15" x14ac:dyDescent="0.25">
      <c r="A55" s="41" t="s">
        <v>895</v>
      </c>
    </row>
    <row r="56" spans="1:15" x14ac:dyDescent="0.25">
      <c r="A56" s="31" t="s">
        <v>888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workbookViewId="0">
      <selection activeCell="A54" sqref="A54"/>
    </sheetView>
  </sheetViews>
  <sheetFormatPr baseColWidth="10" defaultColWidth="9.140625" defaultRowHeight="15" x14ac:dyDescent="0.25"/>
  <cols>
    <col min="1" max="1" width="11.28515625" style="31" bestFit="1" customWidth="1"/>
    <col min="2" max="2" width="6.42578125" style="31" bestFit="1" customWidth="1"/>
    <col min="3" max="3" width="5.7109375" style="31" bestFit="1" customWidth="1"/>
    <col min="4" max="4" width="7.85546875" style="31" bestFit="1" customWidth="1"/>
    <col min="5" max="5" width="7.85546875" style="31" customWidth="1"/>
    <col min="6" max="6" width="11.85546875" style="31" customWidth="1"/>
    <col min="7" max="7" width="21.42578125" style="31" customWidth="1"/>
    <col min="8" max="8" width="11.85546875" style="31" customWidth="1"/>
    <col min="9" max="9" width="5" style="31" customWidth="1"/>
    <col min="10" max="10" width="4.7109375" style="31" customWidth="1"/>
    <col min="11" max="11" width="9.42578125" style="31" bestFit="1" customWidth="1"/>
    <col min="12" max="16" width="9.42578125" style="31" customWidth="1"/>
    <col min="17" max="17" width="8.42578125" style="31" bestFit="1" customWidth="1"/>
    <col min="18" max="18" width="7.7109375" style="31" bestFit="1" customWidth="1"/>
    <col min="19" max="19" width="9.28515625" style="31" bestFit="1" customWidth="1"/>
    <col min="20" max="20" width="7.7109375" style="31" bestFit="1" customWidth="1"/>
    <col min="21" max="21" width="9.28515625" style="31" bestFit="1" customWidth="1"/>
    <col min="22" max="22" width="7.7109375" style="31" bestFit="1" customWidth="1"/>
    <col min="23" max="23" width="6.140625" style="31" bestFit="1" customWidth="1"/>
    <col min="24" max="24" width="7.7109375" style="31" bestFit="1" customWidth="1"/>
    <col min="25" max="25" width="6.140625" style="31" bestFit="1" customWidth="1"/>
    <col min="26" max="26" width="7.7109375" style="31" bestFit="1" customWidth="1"/>
    <col min="27" max="27" width="6.140625" style="31" bestFit="1" customWidth="1"/>
    <col min="28" max="28" width="7.7109375" style="31" bestFit="1" customWidth="1"/>
    <col min="29" max="16384" width="9.140625" style="31"/>
  </cols>
  <sheetData>
    <row r="1" spans="1:23" x14ac:dyDescent="0.25">
      <c r="A1" s="41" t="s">
        <v>887</v>
      </c>
    </row>
    <row r="2" spans="1:23" x14ac:dyDescent="0.25">
      <c r="A2" s="31" t="s">
        <v>888</v>
      </c>
    </row>
    <row r="4" spans="1:23" x14ac:dyDescent="0.25">
      <c r="A4" s="41" t="s">
        <v>889</v>
      </c>
      <c r="U4" s="33"/>
    </row>
    <row r="5" spans="1:23" x14ac:dyDescent="0.25">
      <c r="A5" s="31" t="s">
        <v>0</v>
      </c>
      <c r="B5" s="31" t="s">
        <v>12</v>
      </c>
      <c r="C5" s="31" t="s">
        <v>13</v>
      </c>
      <c r="D5" s="31" t="s">
        <v>4</v>
      </c>
      <c r="E5" s="31" t="s">
        <v>15</v>
      </c>
      <c r="F5" s="31" t="s">
        <v>854</v>
      </c>
      <c r="G5" s="31" t="s">
        <v>855</v>
      </c>
    </row>
    <row r="6" spans="1:23" x14ac:dyDescent="0.25">
      <c r="A6" s="31" t="s">
        <v>27</v>
      </c>
      <c r="B6" s="31">
        <v>0</v>
      </c>
      <c r="C6" s="31">
        <v>0</v>
      </c>
      <c r="D6" s="31" t="s">
        <v>27</v>
      </c>
      <c r="E6" s="47">
        <v>383.4</v>
      </c>
      <c r="F6" s="31">
        <v>320</v>
      </c>
      <c r="G6" s="31">
        <v>250</v>
      </c>
    </row>
    <row r="7" spans="1:23" x14ac:dyDescent="0.25">
      <c r="A7" s="31" t="s">
        <v>54</v>
      </c>
      <c r="B7" s="31">
        <v>0</v>
      </c>
      <c r="C7" s="31">
        <v>0</v>
      </c>
      <c r="D7" s="31" t="s">
        <v>28</v>
      </c>
      <c r="E7" s="47">
        <v>1</v>
      </c>
      <c r="F7" s="31">
        <v>320</v>
      </c>
      <c r="G7" s="31">
        <v>200</v>
      </c>
    </row>
    <row r="8" spans="1:23" x14ac:dyDescent="0.25">
      <c r="A8" s="31" t="s">
        <v>55</v>
      </c>
      <c r="B8" s="31">
        <v>0</v>
      </c>
      <c r="C8" s="31">
        <v>0</v>
      </c>
      <c r="D8" s="31" t="s">
        <v>28</v>
      </c>
      <c r="E8" s="47">
        <v>2.8</v>
      </c>
      <c r="F8" s="31">
        <v>320</v>
      </c>
      <c r="G8" s="31">
        <v>150</v>
      </c>
    </row>
    <row r="9" spans="1:23" x14ac:dyDescent="0.25">
      <c r="A9" s="31" t="s">
        <v>56</v>
      </c>
      <c r="B9" s="31">
        <v>0</v>
      </c>
      <c r="C9" s="31">
        <v>0</v>
      </c>
      <c r="D9" s="31" t="s">
        <v>28</v>
      </c>
      <c r="E9" s="47">
        <v>71</v>
      </c>
      <c r="F9" s="31">
        <v>320</v>
      </c>
      <c r="G9" s="31">
        <v>100</v>
      </c>
    </row>
    <row r="10" spans="1:23" x14ac:dyDescent="0.25">
      <c r="A10" s="31" t="s">
        <v>57</v>
      </c>
      <c r="B10" s="31">
        <v>0</v>
      </c>
      <c r="C10" s="31">
        <v>0</v>
      </c>
      <c r="D10" s="31" t="s">
        <v>28</v>
      </c>
      <c r="E10" s="47">
        <v>256.5</v>
      </c>
      <c r="F10" s="31">
        <v>320</v>
      </c>
      <c r="G10" s="31">
        <v>50</v>
      </c>
    </row>
    <row r="11" spans="1:23" x14ac:dyDescent="0.25">
      <c r="A11" s="31" t="s">
        <v>831</v>
      </c>
      <c r="B11" s="31">
        <v>0</v>
      </c>
      <c r="C11" s="31">
        <v>0</v>
      </c>
      <c r="D11" s="31" t="s">
        <v>831</v>
      </c>
      <c r="E11" s="47">
        <v>160</v>
      </c>
      <c r="F11" s="31">
        <v>320</v>
      </c>
      <c r="G11" s="31">
        <v>0</v>
      </c>
      <c r="U11" s="33"/>
      <c r="W11" s="33"/>
    </row>
    <row r="14" spans="1:23" x14ac:dyDescent="0.25">
      <c r="A14" s="41" t="s">
        <v>890</v>
      </c>
    </row>
    <row r="15" spans="1:23" x14ac:dyDescent="0.25">
      <c r="A15" s="31" t="s">
        <v>0</v>
      </c>
      <c r="B15" s="34" t="s">
        <v>12</v>
      </c>
      <c r="C15" s="36" t="s">
        <v>13</v>
      </c>
      <c r="D15" s="31" t="s">
        <v>1</v>
      </c>
      <c r="E15" s="34" t="s">
        <v>64</v>
      </c>
      <c r="F15" s="31" t="s">
        <v>65</v>
      </c>
      <c r="G15" s="34" t="s">
        <v>857</v>
      </c>
      <c r="H15" s="31" t="s">
        <v>827</v>
      </c>
      <c r="I15" s="34" t="s">
        <v>854</v>
      </c>
      <c r="J15" s="35" t="s">
        <v>855</v>
      </c>
      <c r="K15" s="34" t="s">
        <v>21</v>
      </c>
      <c r="L15" s="31" t="s">
        <v>24</v>
      </c>
      <c r="M15" s="31" t="s">
        <v>25</v>
      </c>
      <c r="N15" s="31" t="s">
        <v>26</v>
      </c>
      <c r="O15" s="34" t="s">
        <v>16</v>
      </c>
      <c r="P15" s="31" t="s">
        <v>17</v>
      </c>
      <c r="Q15" s="31" t="s">
        <v>2</v>
      </c>
      <c r="R15" s="31" t="s">
        <v>3</v>
      </c>
      <c r="S15" s="31" t="s">
        <v>42</v>
      </c>
      <c r="T15" s="31" t="s">
        <v>43</v>
      </c>
    </row>
    <row r="16" spans="1:23" x14ac:dyDescent="0.25">
      <c r="A16" s="31" t="s">
        <v>9</v>
      </c>
      <c r="B16" s="34">
        <v>0</v>
      </c>
      <c r="C16" s="36">
        <v>0</v>
      </c>
      <c r="D16" s="33">
        <v>0.93</v>
      </c>
      <c r="E16" s="37">
        <v>0</v>
      </c>
      <c r="F16" s="28">
        <v>999999</v>
      </c>
      <c r="G16" s="37">
        <v>0</v>
      </c>
      <c r="H16" s="28">
        <v>0</v>
      </c>
      <c r="I16" s="37">
        <v>80</v>
      </c>
      <c r="J16" s="38">
        <v>300</v>
      </c>
      <c r="K16" s="34" t="s">
        <v>10</v>
      </c>
      <c r="L16" s="31">
        <v>1</v>
      </c>
      <c r="O16" s="34" t="s">
        <v>8</v>
      </c>
      <c r="P16" s="31">
        <v>0.27956989247311831</v>
      </c>
      <c r="Q16" s="31" t="s">
        <v>29</v>
      </c>
      <c r="R16" s="31">
        <v>0.58064516129032262</v>
      </c>
      <c r="S16" s="31" t="s">
        <v>831</v>
      </c>
      <c r="T16" s="31">
        <v>0.13978494623655915</v>
      </c>
    </row>
    <row r="17" spans="1:20" x14ac:dyDescent="0.25">
      <c r="A17" s="31" t="s">
        <v>832</v>
      </c>
      <c r="B17" s="34">
        <v>0</v>
      </c>
      <c r="C17" s="36">
        <v>0</v>
      </c>
      <c r="D17" s="33">
        <v>0.93</v>
      </c>
      <c r="E17" s="34">
        <v>0</v>
      </c>
      <c r="F17" s="31">
        <v>999999</v>
      </c>
      <c r="G17" s="34">
        <v>0</v>
      </c>
      <c r="H17" s="28">
        <v>0</v>
      </c>
      <c r="I17" s="37">
        <v>80</v>
      </c>
      <c r="J17" s="38">
        <v>250</v>
      </c>
      <c r="K17" s="34" t="s">
        <v>10</v>
      </c>
      <c r="L17" s="31">
        <v>1</v>
      </c>
      <c r="O17" s="34" t="s">
        <v>8</v>
      </c>
      <c r="P17" s="31">
        <v>0.32520325203252037</v>
      </c>
      <c r="Q17" s="31" t="s">
        <v>29</v>
      </c>
      <c r="R17" s="31">
        <v>0.67479674796747968</v>
      </c>
    </row>
    <row r="18" spans="1:20" x14ac:dyDescent="0.25">
      <c r="A18" s="31" t="s">
        <v>860</v>
      </c>
      <c r="B18" s="34">
        <v>0</v>
      </c>
      <c r="C18" s="36">
        <v>0</v>
      </c>
      <c r="D18" s="33">
        <f>53.4/(53.6+0.93)</f>
        <v>0.97927746194755172</v>
      </c>
      <c r="E18" s="34">
        <v>0</v>
      </c>
      <c r="F18" s="31">
        <v>999999</v>
      </c>
      <c r="G18" s="34">
        <v>0</v>
      </c>
      <c r="H18" s="31">
        <v>0</v>
      </c>
      <c r="I18" s="34">
        <v>80</v>
      </c>
      <c r="J18" s="38">
        <v>225</v>
      </c>
      <c r="K18" s="34" t="s">
        <v>859</v>
      </c>
      <c r="L18" s="31">
        <v>1</v>
      </c>
      <c r="O18" s="34" t="s">
        <v>861</v>
      </c>
      <c r="P18" s="31">
        <v>1</v>
      </c>
    </row>
    <row r="19" spans="1:20" x14ac:dyDescent="0.25">
      <c r="A19" s="31" t="s">
        <v>31</v>
      </c>
      <c r="B19" s="34">
        <v>0</v>
      </c>
      <c r="C19" s="36">
        <v>0</v>
      </c>
      <c r="D19" s="33">
        <v>0.54</v>
      </c>
      <c r="E19" s="37">
        <v>0</v>
      </c>
      <c r="F19" s="28">
        <v>999999</v>
      </c>
      <c r="G19" s="37">
        <v>0</v>
      </c>
      <c r="H19" s="28">
        <v>0</v>
      </c>
      <c r="I19" s="37">
        <v>80</v>
      </c>
      <c r="J19" s="38">
        <v>150</v>
      </c>
      <c r="K19" s="34" t="s">
        <v>19</v>
      </c>
      <c r="L19" s="31">
        <v>1</v>
      </c>
      <c r="O19" s="34" t="s">
        <v>29</v>
      </c>
      <c r="P19" s="31">
        <v>1</v>
      </c>
    </row>
    <row r="20" spans="1:20" x14ac:dyDescent="0.25">
      <c r="A20" s="31" t="s">
        <v>30</v>
      </c>
      <c r="B20" s="34">
        <v>0</v>
      </c>
      <c r="C20" s="36">
        <v>0</v>
      </c>
      <c r="D20" s="33">
        <v>0.54</v>
      </c>
      <c r="E20" s="37">
        <v>0</v>
      </c>
      <c r="F20" s="28">
        <v>999999</v>
      </c>
      <c r="G20" s="37">
        <v>0</v>
      </c>
      <c r="H20" s="28">
        <v>0</v>
      </c>
      <c r="I20" s="37">
        <v>80</v>
      </c>
      <c r="J20" s="38">
        <v>200</v>
      </c>
      <c r="K20" s="34" t="s">
        <v>19</v>
      </c>
      <c r="L20" s="31">
        <v>1</v>
      </c>
      <c r="O20" s="34" t="s">
        <v>8</v>
      </c>
      <c r="P20" s="31">
        <v>1</v>
      </c>
    </row>
    <row r="21" spans="1:20" x14ac:dyDescent="0.25">
      <c r="A21" s="31" t="s">
        <v>862</v>
      </c>
      <c r="B21" s="34">
        <v>0</v>
      </c>
      <c r="C21" s="36">
        <v>0</v>
      </c>
      <c r="D21" s="33">
        <v>0.52800000000000002</v>
      </c>
      <c r="E21" s="37">
        <v>0</v>
      </c>
      <c r="F21" s="28">
        <v>999999</v>
      </c>
      <c r="G21" s="37">
        <v>0</v>
      </c>
      <c r="H21" s="28">
        <v>0</v>
      </c>
      <c r="I21" s="37">
        <v>80</v>
      </c>
      <c r="J21" s="38">
        <v>175</v>
      </c>
      <c r="K21" s="34" t="s">
        <v>19</v>
      </c>
      <c r="L21" s="31">
        <v>1</v>
      </c>
      <c r="O21" s="34" t="s">
        <v>861</v>
      </c>
      <c r="P21" s="31">
        <v>1</v>
      </c>
    </row>
    <row r="22" spans="1:20" x14ac:dyDescent="0.25">
      <c r="A22" s="31" t="s">
        <v>899</v>
      </c>
      <c r="B22" s="34">
        <v>0</v>
      </c>
      <c r="C22" s="36">
        <v>0</v>
      </c>
      <c r="D22" s="33">
        <f>0.66*(1328/1574)</f>
        <v>0.55684879288437106</v>
      </c>
      <c r="E22" s="37">
        <v>0</v>
      </c>
      <c r="F22" s="44">
        <v>50</v>
      </c>
      <c r="G22" s="37">
        <v>0</v>
      </c>
      <c r="H22" s="44">
        <v>0</v>
      </c>
      <c r="I22" s="45"/>
      <c r="J22" s="46"/>
      <c r="K22" s="34" t="s">
        <v>19</v>
      </c>
      <c r="L22" s="31">
        <v>1</v>
      </c>
      <c r="O22" s="34" t="s">
        <v>8</v>
      </c>
      <c r="P22" s="31">
        <v>1</v>
      </c>
    </row>
    <row r="23" spans="1:20" x14ac:dyDescent="0.25">
      <c r="A23" s="31" t="s">
        <v>900</v>
      </c>
      <c r="B23" s="34">
        <v>0</v>
      </c>
      <c r="C23" s="36">
        <v>0</v>
      </c>
      <c r="D23" s="33">
        <f>0.66*(638/767)</f>
        <v>0.54899608865710559</v>
      </c>
      <c r="E23" s="37">
        <v>0</v>
      </c>
      <c r="F23" s="44">
        <v>50</v>
      </c>
      <c r="G23" s="37">
        <v>0</v>
      </c>
      <c r="H23" s="44">
        <v>0</v>
      </c>
      <c r="I23" s="45"/>
      <c r="J23" s="46"/>
      <c r="K23" s="34" t="s">
        <v>19</v>
      </c>
      <c r="L23" s="31">
        <v>1</v>
      </c>
      <c r="O23" s="34" t="s">
        <v>29</v>
      </c>
      <c r="P23" s="31">
        <v>1</v>
      </c>
    </row>
    <row r="24" spans="1:20" x14ac:dyDescent="0.25">
      <c r="A24" s="31" t="s">
        <v>11</v>
      </c>
      <c r="B24" s="34">
        <v>0</v>
      </c>
      <c r="C24" s="36">
        <v>0</v>
      </c>
      <c r="D24" s="33">
        <f>650/(746+59.3)</f>
        <v>0.80715261393269588</v>
      </c>
      <c r="E24" s="37">
        <v>0</v>
      </c>
      <c r="F24" s="28">
        <v>999999</v>
      </c>
      <c r="G24" s="37">
        <v>43.1</v>
      </c>
      <c r="H24" s="33">
        <f>44/650</f>
        <v>6.7692307692307691E-2</v>
      </c>
      <c r="I24" s="37">
        <v>80</v>
      </c>
      <c r="J24" s="38">
        <v>100</v>
      </c>
      <c r="K24" s="34" t="s">
        <v>7</v>
      </c>
      <c r="L24" s="33">
        <f>746/(746+59.3)</f>
        <v>0.92636284614429409</v>
      </c>
      <c r="M24" s="31" t="s">
        <v>830</v>
      </c>
      <c r="N24" s="33">
        <f>1-L24</f>
        <v>7.3637153855705906E-2</v>
      </c>
      <c r="O24" s="34" t="s">
        <v>8</v>
      </c>
      <c r="P24" s="31">
        <v>1</v>
      </c>
    </row>
    <row r="25" spans="1:20" x14ac:dyDescent="0.25">
      <c r="A25" s="31" t="s">
        <v>833</v>
      </c>
      <c r="B25" s="34">
        <v>0</v>
      </c>
      <c r="C25" s="36">
        <v>0</v>
      </c>
      <c r="D25" s="33">
        <f>(8.9+19.9)/(34.2+3.5)</f>
        <v>0.76392572944297066</v>
      </c>
      <c r="E25" s="37">
        <v>0</v>
      </c>
      <c r="F25" s="28">
        <v>999999</v>
      </c>
      <c r="G25" s="37">
        <v>43.1</v>
      </c>
      <c r="H25" s="33">
        <f>3.88/(8.9+19.9)</f>
        <v>0.13472222222222224</v>
      </c>
      <c r="I25" s="37">
        <v>80</v>
      </c>
      <c r="J25" s="38">
        <v>50</v>
      </c>
      <c r="K25" s="34" t="s">
        <v>7</v>
      </c>
      <c r="L25" s="33">
        <f>34.2/(34.2+3.5)</f>
        <v>0.90716180371352784</v>
      </c>
      <c r="M25" s="31" t="s">
        <v>830</v>
      </c>
      <c r="N25" s="33">
        <f t="shared" ref="N25:N29" si="0">1-L25</f>
        <v>9.2838196286472163E-2</v>
      </c>
      <c r="O25" s="34" t="s">
        <v>8</v>
      </c>
      <c r="P25" s="33">
        <f>8.9/(8.9+19.9)</f>
        <v>0.30902777777777785</v>
      </c>
      <c r="Q25" s="31" t="s">
        <v>29</v>
      </c>
      <c r="R25" s="33">
        <v>0.6909722222222221</v>
      </c>
    </row>
    <row r="26" spans="1:20" x14ac:dyDescent="0.25">
      <c r="A26" s="31" t="s">
        <v>834</v>
      </c>
      <c r="B26" s="34">
        <v>0</v>
      </c>
      <c r="C26" s="36">
        <v>0</v>
      </c>
      <c r="D26" s="33">
        <f>((14700+43500+1800)/3600*43)/(30600/3600*120)</f>
        <v>0.70261437908496738</v>
      </c>
      <c r="E26" s="37">
        <v>0</v>
      </c>
      <c r="F26" s="28">
        <v>999999</v>
      </c>
      <c r="G26" s="37">
        <v>43.1</v>
      </c>
      <c r="H26" s="33">
        <f>3.88/(8.9+19.9)</f>
        <v>0.13472222222222224</v>
      </c>
      <c r="I26" s="37">
        <v>80</v>
      </c>
      <c r="J26" s="38">
        <v>0</v>
      </c>
      <c r="K26" s="34" t="s">
        <v>7</v>
      </c>
      <c r="L26" s="33">
        <f>34.2/(34.2+3.5)</f>
        <v>0.90716180371352784</v>
      </c>
      <c r="M26" s="31" t="s">
        <v>830</v>
      </c>
      <c r="N26" s="33">
        <f t="shared" si="0"/>
        <v>9.2838196286472163E-2</v>
      </c>
      <c r="O26" s="34" t="s">
        <v>8</v>
      </c>
      <c r="P26" s="33">
        <f>14.7/(14.7+1.8+43.5)</f>
        <v>0.245</v>
      </c>
      <c r="Q26" s="31" t="s">
        <v>29</v>
      </c>
      <c r="R26" s="33">
        <f>1.8/(14.7+1.8+43.5)</f>
        <v>3.0000000000000002E-2</v>
      </c>
      <c r="S26" s="31" t="s">
        <v>831</v>
      </c>
      <c r="T26" s="33">
        <f>1-P26-R26</f>
        <v>0.72499999999999998</v>
      </c>
    </row>
    <row r="27" spans="1:20" x14ac:dyDescent="0.25">
      <c r="A27" s="31" t="s">
        <v>863</v>
      </c>
      <c r="B27" s="34">
        <v>0</v>
      </c>
      <c r="C27" s="36">
        <v>0</v>
      </c>
      <c r="D27" s="33">
        <f>12.54/(15.08+0.35)</f>
        <v>0.81270252754374595</v>
      </c>
      <c r="E27" s="37">
        <v>0</v>
      </c>
      <c r="F27" s="28">
        <v>999999</v>
      </c>
      <c r="G27" s="37">
        <v>43.1</v>
      </c>
      <c r="H27" s="33">
        <f>0.69/12.54</f>
        <v>5.5023923444976079E-2</v>
      </c>
      <c r="I27" s="37">
        <v>80</v>
      </c>
      <c r="J27" s="38">
        <v>125</v>
      </c>
      <c r="K27" s="34" t="s">
        <v>7</v>
      </c>
      <c r="L27" s="33">
        <f>15.08/(15.08+0.35)</f>
        <v>0.97731691510045371</v>
      </c>
      <c r="M27" s="31" t="s">
        <v>830</v>
      </c>
      <c r="N27" s="33">
        <f t="shared" si="0"/>
        <v>2.2683084899546291E-2</v>
      </c>
      <c r="O27" s="34" t="s">
        <v>861</v>
      </c>
      <c r="P27" s="31">
        <v>1</v>
      </c>
    </row>
    <row r="28" spans="1:20" x14ac:dyDescent="0.25">
      <c r="A28" s="31" t="s">
        <v>901</v>
      </c>
      <c r="B28" s="34">
        <v>0</v>
      </c>
      <c r="C28" s="36">
        <v>0</v>
      </c>
      <c r="D28" s="33">
        <f>19.92/(22.55+1.02)</f>
        <v>0.84514212982605008</v>
      </c>
      <c r="E28" s="37">
        <v>0</v>
      </c>
      <c r="F28" s="44">
        <v>50</v>
      </c>
      <c r="G28" s="37">
        <v>19.899999999999999</v>
      </c>
      <c r="H28" s="33">
        <f>1.37/19.9</f>
        <v>6.8844221105527653E-2</v>
      </c>
      <c r="I28" s="45"/>
      <c r="J28" s="46"/>
      <c r="K28" s="34" t="s">
        <v>7</v>
      </c>
      <c r="L28" s="33">
        <f>22.55/(22.55+1.02)</f>
        <v>0.95672464997878659</v>
      </c>
      <c r="M28" s="31" t="s">
        <v>830</v>
      </c>
      <c r="N28" s="33">
        <f>1-L28</f>
        <v>4.327535002121341E-2</v>
      </c>
      <c r="O28" s="34" t="s">
        <v>8</v>
      </c>
      <c r="P28" s="31">
        <v>1</v>
      </c>
    </row>
    <row r="29" spans="1:20" x14ac:dyDescent="0.25">
      <c r="A29" s="31" t="s">
        <v>902</v>
      </c>
      <c r="B29" s="34">
        <v>0</v>
      </c>
      <c r="C29" s="36">
        <v>0</v>
      </c>
      <c r="D29" s="33">
        <f>28.84/(31.67+2.13)</f>
        <v>0.85325443786982236</v>
      </c>
      <c r="E29" s="37">
        <v>0</v>
      </c>
      <c r="F29" s="44">
        <v>50</v>
      </c>
      <c r="G29" s="37">
        <v>28.835000000000001</v>
      </c>
      <c r="H29" s="33">
        <f>1.93/28.84</f>
        <v>6.6920943134535366E-2</v>
      </c>
      <c r="I29" s="45"/>
      <c r="J29" s="46"/>
      <c r="K29" s="34" t="s">
        <v>7</v>
      </c>
      <c r="L29" s="33">
        <f>31.67/(31.67+2.13)</f>
        <v>0.93698224852070999</v>
      </c>
      <c r="M29" s="31" t="s">
        <v>830</v>
      </c>
      <c r="N29" s="33">
        <f>1-L29</f>
        <v>6.3017751479290007E-2</v>
      </c>
      <c r="O29" s="34" t="s">
        <v>29</v>
      </c>
      <c r="P29" s="31">
        <v>1</v>
      </c>
    </row>
    <row r="30" spans="1:20" x14ac:dyDescent="0.25">
      <c r="A30" s="31" t="s">
        <v>50</v>
      </c>
      <c r="B30" s="34">
        <v>0</v>
      </c>
      <c r="C30" s="36">
        <v>0</v>
      </c>
      <c r="D30" s="49">
        <f>1.5/1.5</f>
        <v>1</v>
      </c>
      <c r="E30" s="37">
        <v>0</v>
      </c>
      <c r="F30" s="28">
        <v>400</v>
      </c>
      <c r="G30" s="37">
        <v>0</v>
      </c>
      <c r="H30" s="28">
        <v>0</v>
      </c>
      <c r="I30" s="37">
        <v>240</v>
      </c>
      <c r="J30" s="38">
        <v>300</v>
      </c>
      <c r="K30" s="34" t="s">
        <v>8</v>
      </c>
      <c r="L30" s="31">
        <v>1</v>
      </c>
      <c r="O30" s="34" t="s">
        <v>27</v>
      </c>
      <c r="P30" s="31">
        <v>1</v>
      </c>
    </row>
    <row r="31" spans="1:20" x14ac:dyDescent="0.25">
      <c r="A31" s="31" t="s">
        <v>51</v>
      </c>
      <c r="B31" s="34">
        <v>0</v>
      </c>
      <c r="C31" s="36">
        <v>0</v>
      </c>
      <c r="D31" s="49">
        <f>1.5/1.6</f>
        <v>0.9375</v>
      </c>
      <c r="E31" s="37">
        <v>0</v>
      </c>
      <c r="F31" s="28">
        <v>999999</v>
      </c>
      <c r="G31" s="37">
        <v>0</v>
      </c>
      <c r="H31" s="28">
        <v>0</v>
      </c>
      <c r="I31" s="37">
        <v>240</v>
      </c>
      <c r="J31" s="38">
        <v>250</v>
      </c>
      <c r="K31" s="34" t="s">
        <v>29</v>
      </c>
      <c r="L31" s="31">
        <v>1</v>
      </c>
      <c r="O31" s="34" t="s">
        <v>27</v>
      </c>
      <c r="P31" s="31">
        <v>1</v>
      </c>
    </row>
    <row r="32" spans="1:20" x14ac:dyDescent="0.25">
      <c r="A32" s="31" t="s">
        <v>44</v>
      </c>
      <c r="B32" s="34">
        <v>0</v>
      </c>
      <c r="C32" s="36">
        <v>0</v>
      </c>
      <c r="D32" s="49">
        <f>0.2/1.9</f>
        <v>0.10526315789473685</v>
      </c>
      <c r="E32" s="37">
        <v>0</v>
      </c>
      <c r="F32" s="28">
        <v>999999</v>
      </c>
      <c r="G32" s="37">
        <v>0</v>
      </c>
      <c r="H32" s="28">
        <v>0</v>
      </c>
      <c r="I32" s="37">
        <v>240</v>
      </c>
      <c r="J32" s="38">
        <v>200</v>
      </c>
      <c r="K32" s="34" t="s">
        <v>29</v>
      </c>
      <c r="L32" s="31">
        <v>1</v>
      </c>
      <c r="O32" s="34" t="s">
        <v>28</v>
      </c>
      <c r="P32" s="31">
        <v>1</v>
      </c>
    </row>
    <row r="33" spans="1:16" x14ac:dyDescent="0.25">
      <c r="A33" s="31" t="s">
        <v>45</v>
      </c>
      <c r="B33" s="34">
        <v>0</v>
      </c>
      <c r="C33" s="36">
        <v>0</v>
      </c>
      <c r="D33" s="49">
        <f>2.7/3.5</f>
        <v>0.77142857142857146</v>
      </c>
      <c r="E33" s="37">
        <v>0</v>
      </c>
      <c r="F33" s="28">
        <v>999999</v>
      </c>
      <c r="G33" s="37">
        <v>0</v>
      </c>
      <c r="H33" s="28">
        <v>0</v>
      </c>
      <c r="I33" s="37">
        <v>240</v>
      </c>
      <c r="J33" s="38">
        <v>150</v>
      </c>
      <c r="K33" s="34" t="s">
        <v>29</v>
      </c>
      <c r="L33" s="31">
        <v>1</v>
      </c>
      <c r="O33" s="34" t="s">
        <v>28</v>
      </c>
      <c r="P33" s="31">
        <v>1</v>
      </c>
    </row>
    <row r="34" spans="1:16" x14ac:dyDescent="0.25">
      <c r="A34" s="31" t="s">
        <v>58</v>
      </c>
      <c r="B34" s="34">
        <v>0</v>
      </c>
      <c r="C34" s="36">
        <v>0</v>
      </c>
      <c r="D34" s="49">
        <f>5.5/6.9</f>
        <v>0.79710144927536231</v>
      </c>
      <c r="E34" s="37">
        <v>0</v>
      </c>
      <c r="F34" s="28">
        <v>999999</v>
      </c>
      <c r="G34" s="37">
        <v>0</v>
      </c>
      <c r="H34" s="28">
        <v>0</v>
      </c>
      <c r="I34" s="37">
        <v>240</v>
      </c>
      <c r="J34" s="38">
        <v>100</v>
      </c>
      <c r="K34" s="34" t="s">
        <v>29</v>
      </c>
      <c r="L34" s="31">
        <v>1</v>
      </c>
      <c r="O34" s="34" t="s">
        <v>28</v>
      </c>
      <c r="P34" s="31">
        <v>1</v>
      </c>
    </row>
    <row r="35" spans="1:16" x14ac:dyDescent="0.25">
      <c r="A35" s="31" t="s">
        <v>59</v>
      </c>
      <c r="B35" s="34">
        <v>0</v>
      </c>
      <c r="C35" s="36">
        <v>0</v>
      </c>
      <c r="D35" s="49">
        <f>13.5/7.9</f>
        <v>1.7088607594936709</v>
      </c>
      <c r="E35" s="37">
        <v>0</v>
      </c>
      <c r="F35" s="28">
        <v>999999</v>
      </c>
      <c r="G35" s="37">
        <v>0</v>
      </c>
      <c r="H35" s="28">
        <v>0</v>
      </c>
      <c r="I35" s="37">
        <v>240</v>
      </c>
      <c r="J35" s="38">
        <v>50</v>
      </c>
      <c r="K35" s="34" t="s">
        <v>29</v>
      </c>
      <c r="L35" s="31">
        <v>1</v>
      </c>
      <c r="O35" s="34" t="s">
        <v>28</v>
      </c>
      <c r="P35" s="31">
        <v>1</v>
      </c>
    </row>
    <row r="36" spans="1:16" x14ac:dyDescent="0.25">
      <c r="A36" s="31" t="s">
        <v>864</v>
      </c>
      <c r="B36" s="34">
        <v>0</v>
      </c>
      <c r="C36" s="36">
        <v>0</v>
      </c>
      <c r="D36" s="49">
        <f>1.5/1.6</f>
        <v>0.9375</v>
      </c>
      <c r="E36" s="37">
        <v>0</v>
      </c>
      <c r="F36" s="48">
        <v>38.340000000000003</v>
      </c>
      <c r="G36" s="37">
        <v>0</v>
      </c>
      <c r="H36" s="28">
        <v>0</v>
      </c>
      <c r="I36" s="37">
        <v>240</v>
      </c>
      <c r="J36" s="38">
        <v>75</v>
      </c>
      <c r="K36" s="34" t="s">
        <v>861</v>
      </c>
      <c r="L36" s="31">
        <v>1</v>
      </c>
      <c r="O36" s="34" t="s">
        <v>27</v>
      </c>
      <c r="P36" s="31">
        <v>1</v>
      </c>
    </row>
    <row r="37" spans="1:16" x14ac:dyDescent="0.25">
      <c r="A37" s="31" t="s">
        <v>865</v>
      </c>
      <c r="B37" s="34">
        <v>0</v>
      </c>
      <c r="C37" s="36">
        <v>0</v>
      </c>
      <c r="D37" s="49">
        <f>20/220</f>
        <v>9.0909090909090912E-2</v>
      </c>
      <c r="E37" s="37">
        <v>0</v>
      </c>
      <c r="F37" s="48">
        <v>0.1</v>
      </c>
      <c r="G37" s="37">
        <v>0</v>
      </c>
      <c r="H37" s="28">
        <v>0</v>
      </c>
      <c r="I37" s="37">
        <v>240</v>
      </c>
      <c r="J37" s="38">
        <v>125</v>
      </c>
      <c r="K37" s="34" t="s">
        <v>861</v>
      </c>
      <c r="L37" s="31">
        <v>1</v>
      </c>
      <c r="O37" s="34" t="s">
        <v>28</v>
      </c>
      <c r="P37" s="31">
        <v>1</v>
      </c>
    </row>
    <row r="38" spans="1:16" x14ac:dyDescent="0.25">
      <c r="A38" s="31" t="s">
        <v>866</v>
      </c>
      <c r="B38" s="34">
        <v>0</v>
      </c>
      <c r="C38" s="36">
        <v>0</v>
      </c>
      <c r="D38" s="49">
        <f>270/430</f>
        <v>0.62790697674418605</v>
      </c>
      <c r="E38" s="37">
        <v>0</v>
      </c>
      <c r="F38" s="48">
        <v>0.28000000000000003</v>
      </c>
      <c r="G38" s="37">
        <v>0</v>
      </c>
      <c r="H38" s="28">
        <v>0</v>
      </c>
      <c r="I38" s="37">
        <v>240</v>
      </c>
      <c r="J38" s="38">
        <v>175</v>
      </c>
      <c r="K38" s="34" t="s">
        <v>861</v>
      </c>
      <c r="L38" s="31">
        <v>1</v>
      </c>
      <c r="O38" s="34" t="s">
        <v>28</v>
      </c>
      <c r="P38" s="31">
        <v>1</v>
      </c>
    </row>
    <row r="39" spans="1:16" x14ac:dyDescent="0.25">
      <c r="A39" s="31" t="s">
        <v>867</v>
      </c>
      <c r="B39" s="34">
        <v>0</v>
      </c>
      <c r="C39" s="36">
        <v>0</v>
      </c>
      <c r="D39" s="49">
        <f>550/870</f>
        <v>0.63218390804597702</v>
      </c>
      <c r="E39" s="37">
        <v>0</v>
      </c>
      <c r="F39" s="48">
        <v>7.1</v>
      </c>
      <c r="G39" s="37">
        <v>0</v>
      </c>
      <c r="H39" s="28">
        <v>0</v>
      </c>
      <c r="I39" s="37">
        <v>240</v>
      </c>
      <c r="J39" s="38">
        <v>225</v>
      </c>
      <c r="K39" s="34" t="s">
        <v>861</v>
      </c>
      <c r="L39" s="31">
        <v>1</v>
      </c>
      <c r="O39" s="34" t="s">
        <v>28</v>
      </c>
      <c r="P39" s="31">
        <v>1</v>
      </c>
    </row>
    <row r="40" spans="1:16" x14ac:dyDescent="0.25">
      <c r="A40" s="31" t="s">
        <v>868</v>
      </c>
      <c r="B40" s="34">
        <v>0</v>
      </c>
      <c r="C40" s="36">
        <v>0</v>
      </c>
      <c r="D40" s="49">
        <f>1350/1000</f>
        <v>1.35</v>
      </c>
      <c r="E40" s="37">
        <v>0</v>
      </c>
      <c r="F40" s="48">
        <v>25.65</v>
      </c>
      <c r="G40" s="37">
        <v>0</v>
      </c>
      <c r="H40" s="28">
        <v>0</v>
      </c>
      <c r="I40" s="37">
        <v>240</v>
      </c>
      <c r="J40" s="38">
        <v>275</v>
      </c>
      <c r="K40" s="34" t="s">
        <v>861</v>
      </c>
      <c r="L40" s="31">
        <v>1</v>
      </c>
      <c r="O40" s="34" t="s">
        <v>28</v>
      </c>
      <c r="P40" s="31">
        <v>1</v>
      </c>
    </row>
    <row r="41" spans="1:16" x14ac:dyDescent="0.25">
      <c r="B41" s="35"/>
      <c r="C41" s="35"/>
      <c r="E41" s="38"/>
      <c r="F41" s="28"/>
      <c r="G41" s="38"/>
      <c r="H41" s="28"/>
      <c r="I41" s="38"/>
      <c r="J41" s="38"/>
      <c r="K41" s="35"/>
      <c r="O41" s="35"/>
    </row>
    <row r="42" spans="1:16" x14ac:dyDescent="0.25">
      <c r="A42" s="43" t="s">
        <v>892</v>
      </c>
      <c r="B42" s="35"/>
      <c r="C42" s="35"/>
      <c r="E42" s="38"/>
      <c r="F42" s="28"/>
      <c r="G42" s="38"/>
      <c r="H42" s="28"/>
      <c r="I42" s="38"/>
      <c r="J42" s="38"/>
      <c r="K42" s="35"/>
      <c r="O42" s="35"/>
    </row>
    <row r="43" spans="1:16" x14ac:dyDescent="0.25">
      <c r="A43" s="50" t="s">
        <v>898</v>
      </c>
      <c r="B43" s="50"/>
      <c r="C43" s="35"/>
      <c r="E43" s="38"/>
      <c r="F43" s="28"/>
      <c r="G43" s="38"/>
      <c r="H43" s="28"/>
      <c r="I43" s="38"/>
      <c r="J43" s="38"/>
      <c r="K43" s="35"/>
      <c r="O43" s="35"/>
    </row>
    <row r="44" spans="1:16" x14ac:dyDescent="0.25">
      <c r="A44" s="42"/>
      <c r="B44" s="35"/>
      <c r="C44" s="35"/>
      <c r="E44" s="38"/>
      <c r="F44" s="28"/>
      <c r="G44" s="38"/>
      <c r="H44" s="28"/>
      <c r="I44" s="38"/>
      <c r="J44" s="38"/>
      <c r="K44" s="35"/>
      <c r="O44" s="35"/>
    </row>
    <row r="45" spans="1:16" x14ac:dyDescent="0.25">
      <c r="A45" s="43" t="s">
        <v>893</v>
      </c>
      <c r="B45" s="35"/>
      <c r="C45" s="35"/>
      <c r="E45" s="38"/>
      <c r="F45" s="28"/>
      <c r="G45" s="38"/>
      <c r="H45" s="28"/>
      <c r="I45" s="38"/>
      <c r="J45" s="38"/>
      <c r="K45" s="35"/>
      <c r="O45" s="35"/>
    </row>
    <row r="46" spans="1:16" x14ac:dyDescent="0.25">
      <c r="A46" s="42" t="s">
        <v>888</v>
      </c>
      <c r="B46" s="35"/>
      <c r="C46" s="35"/>
      <c r="E46" s="38"/>
      <c r="F46" s="28"/>
      <c r="G46" s="38"/>
      <c r="H46" s="28"/>
      <c r="I46" s="38"/>
      <c r="J46" s="38"/>
      <c r="K46" s="35"/>
      <c r="O46" s="35"/>
    </row>
    <row r="47" spans="1:16" x14ac:dyDescent="0.25">
      <c r="A47" s="42"/>
      <c r="B47" s="35"/>
      <c r="C47" s="35"/>
      <c r="E47" s="38"/>
      <c r="F47" s="28"/>
      <c r="G47" s="38"/>
      <c r="H47" s="28"/>
      <c r="I47" s="38"/>
      <c r="J47" s="38"/>
      <c r="K47" s="35"/>
      <c r="O47" s="35"/>
    </row>
    <row r="48" spans="1:16" x14ac:dyDescent="0.25">
      <c r="A48" s="43" t="s">
        <v>894</v>
      </c>
      <c r="B48" s="35"/>
      <c r="C48" s="35"/>
      <c r="E48" s="38"/>
      <c r="F48" s="28"/>
      <c r="G48" s="38"/>
      <c r="H48" s="28"/>
      <c r="I48" s="38"/>
      <c r="J48" s="38"/>
      <c r="K48" s="35"/>
      <c r="O48" s="35"/>
    </row>
    <row r="49" spans="1:15" x14ac:dyDescent="0.25">
      <c r="A49" s="42" t="s">
        <v>888</v>
      </c>
      <c r="B49" s="35"/>
      <c r="C49" s="35"/>
      <c r="E49" s="38"/>
      <c r="F49" s="28"/>
      <c r="G49" s="38"/>
      <c r="H49" s="28"/>
      <c r="I49" s="38"/>
      <c r="J49" s="38"/>
      <c r="K49" s="35"/>
      <c r="O49" s="35"/>
    </row>
    <row r="51" spans="1:15" x14ac:dyDescent="0.25">
      <c r="A51" s="43" t="s">
        <v>891</v>
      </c>
    </row>
    <row r="52" spans="1:15" x14ac:dyDescent="0.25">
      <c r="A52" s="31" t="s">
        <v>20</v>
      </c>
      <c r="B52" s="31" t="s">
        <v>823</v>
      </c>
      <c r="C52" s="31" t="s">
        <v>824</v>
      </c>
      <c r="D52" s="31" t="s">
        <v>826</v>
      </c>
      <c r="E52" s="31" t="s">
        <v>825</v>
      </c>
    </row>
    <row r="53" spans="1:15" x14ac:dyDescent="0.25">
      <c r="A53" s="47">
        <v>32</v>
      </c>
      <c r="B53" s="31">
        <v>0.08</v>
      </c>
      <c r="C53" s="31">
        <v>20</v>
      </c>
      <c r="D53" s="31">
        <v>30</v>
      </c>
      <c r="E53" s="31">
        <v>400</v>
      </c>
    </row>
    <row r="55" spans="1:15" x14ac:dyDescent="0.25">
      <c r="A55" s="41" t="s">
        <v>895</v>
      </c>
    </row>
    <row r="56" spans="1:15" x14ac:dyDescent="0.25">
      <c r="A56" s="31" t="s">
        <v>888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9" workbookViewId="0">
      <selection activeCell="F41" sqref="F41"/>
    </sheetView>
  </sheetViews>
  <sheetFormatPr baseColWidth="10" defaultColWidth="9.140625" defaultRowHeight="15" x14ac:dyDescent="0.25"/>
  <cols>
    <col min="1" max="1" width="11.28515625" style="31" bestFit="1" customWidth="1"/>
    <col min="2" max="2" width="6.42578125" style="31" bestFit="1" customWidth="1"/>
    <col min="3" max="3" width="5.7109375" style="31" bestFit="1" customWidth="1"/>
    <col min="4" max="4" width="7.85546875" style="31" bestFit="1" customWidth="1"/>
    <col min="5" max="5" width="7.85546875" style="31" customWidth="1"/>
    <col min="6" max="6" width="11.85546875" style="31" customWidth="1"/>
    <col min="7" max="7" width="21.42578125" style="31" customWidth="1"/>
    <col min="8" max="8" width="11.85546875" style="31" customWidth="1"/>
    <col min="9" max="9" width="5" style="31" customWidth="1"/>
    <col min="10" max="10" width="4.7109375" style="31" customWidth="1"/>
    <col min="11" max="11" width="9.42578125" style="31" bestFit="1" customWidth="1"/>
    <col min="12" max="16" width="9.42578125" style="31" customWidth="1"/>
    <col min="17" max="17" width="8.42578125" style="31" bestFit="1" customWidth="1"/>
    <col min="18" max="18" width="7.7109375" style="31" bestFit="1" customWidth="1"/>
    <col min="19" max="19" width="9.28515625" style="31" bestFit="1" customWidth="1"/>
    <col min="20" max="20" width="7.7109375" style="31" bestFit="1" customWidth="1"/>
    <col min="21" max="21" width="9.28515625" style="31" bestFit="1" customWidth="1"/>
    <col min="22" max="22" width="7.7109375" style="31" bestFit="1" customWidth="1"/>
    <col min="23" max="23" width="6.140625" style="31" bestFit="1" customWidth="1"/>
    <col min="24" max="24" width="7.7109375" style="31" bestFit="1" customWidth="1"/>
    <col min="25" max="25" width="6.140625" style="31" bestFit="1" customWidth="1"/>
    <col min="26" max="26" width="7.7109375" style="31" bestFit="1" customWidth="1"/>
    <col min="27" max="27" width="6.140625" style="31" bestFit="1" customWidth="1"/>
    <col min="28" max="28" width="7.7109375" style="31" bestFit="1" customWidth="1"/>
    <col min="29" max="16384" width="9.140625" style="31"/>
  </cols>
  <sheetData>
    <row r="1" spans="1:23" x14ac:dyDescent="0.25">
      <c r="A1" s="41" t="s">
        <v>887</v>
      </c>
    </row>
    <row r="2" spans="1:23" x14ac:dyDescent="0.25">
      <c r="A2" s="31" t="s">
        <v>888</v>
      </c>
    </row>
    <row r="4" spans="1:23" x14ac:dyDescent="0.25">
      <c r="A4" s="41" t="s">
        <v>889</v>
      </c>
      <c r="U4" s="33"/>
    </row>
    <row r="5" spans="1:23" x14ac:dyDescent="0.25">
      <c r="A5" s="31" t="s">
        <v>0</v>
      </c>
      <c r="B5" s="31" t="s">
        <v>12</v>
      </c>
      <c r="C5" s="31" t="s">
        <v>13</v>
      </c>
      <c r="D5" s="31" t="s">
        <v>4</v>
      </c>
      <c r="E5" s="31" t="s">
        <v>15</v>
      </c>
      <c r="F5" s="31" t="s">
        <v>854</v>
      </c>
      <c r="G5" s="31" t="s">
        <v>855</v>
      </c>
    </row>
    <row r="6" spans="1:23" x14ac:dyDescent="0.25">
      <c r="A6" s="31" t="s">
        <v>27</v>
      </c>
      <c r="B6" s="31">
        <v>0</v>
      </c>
      <c r="C6" s="31">
        <v>0</v>
      </c>
      <c r="D6" s="31" t="s">
        <v>27</v>
      </c>
      <c r="E6" s="47">
        <v>471.7</v>
      </c>
      <c r="F6" s="31">
        <v>320</v>
      </c>
      <c r="G6" s="31">
        <v>250</v>
      </c>
    </row>
    <row r="7" spans="1:23" x14ac:dyDescent="0.25">
      <c r="A7" s="31" t="s">
        <v>54</v>
      </c>
      <c r="B7" s="31">
        <v>0</v>
      </c>
      <c r="C7" s="31">
        <v>0</v>
      </c>
      <c r="D7" s="31" t="s">
        <v>28</v>
      </c>
      <c r="E7" s="47">
        <v>1</v>
      </c>
      <c r="F7" s="31">
        <v>320</v>
      </c>
      <c r="G7" s="31">
        <v>200</v>
      </c>
    </row>
    <row r="8" spans="1:23" x14ac:dyDescent="0.25">
      <c r="A8" s="31" t="s">
        <v>55</v>
      </c>
      <c r="B8" s="31">
        <v>0</v>
      </c>
      <c r="C8" s="31">
        <v>0</v>
      </c>
      <c r="D8" s="31" t="s">
        <v>28</v>
      </c>
      <c r="E8" s="47">
        <v>5.6</v>
      </c>
      <c r="F8" s="31">
        <v>320</v>
      </c>
      <c r="G8" s="31">
        <v>150</v>
      </c>
    </row>
    <row r="9" spans="1:23" x14ac:dyDescent="0.25">
      <c r="A9" s="31" t="s">
        <v>56</v>
      </c>
      <c r="B9" s="31">
        <v>0</v>
      </c>
      <c r="C9" s="31">
        <v>0</v>
      </c>
      <c r="D9" s="31" t="s">
        <v>28</v>
      </c>
      <c r="E9" s="47">
        <v>102.2</v>
      </c>
      <c r="F9" s="31">
        <v>320</v>
      </c>
      <c r="G9" s="31">
        <v>100</v>
      </c>
    </row>
    <row r="10" spans="1:23" x14ac:dyDescent="0.25">
      <c r="A10" s="31" t="s">
        <v>57</v>
      </c>
      <c r="B10" s="31">
        <v>0</v>
      </c>
      <c r="C10" s="31">
        <v>0</v>
      </c>
      <c r="D10" s="31" t="s">
        <v>28</v>
      </c>
      <c r="E10" s="47">
        <v>266.8</v>
      </c>
      <c r="F10" s="31">
        <v>320</v>
      </c>
      <c r="G10" s="31">
        <v>50</v>
      </c>
    </row>
    <row r="11" spans="1:23" x14ac:dyDescent="0.25">
      <c r="A11" s="31" t="s">
        <v>831</v>
      </c>
      <c r="B11" s="31">
        <v>0</v>
      </c>
      <c r="C11" s="31">
        <v>0</v>
      </c>
      <c r="D11" s="31" t="s">
        <v>831</v>
      </c>
      <c r="E11" s="47">
        <v>160</v>
      </c>
      <c r="F11" s="31">
        <v>320</v>
      </c>
      <c r="G11" s="31">
        <v>0</v>
      </c>
      <c r="U11" s="33"/>
      <c r="W11" s="33"/>
    </row>
    <row r="14" spans="1:23" x14ac:dyDescent="0.25">
      <c r="A14" s="41" t="s">
        <v>890</v>
      </c>
    </row>
    <row r="15" spans="1:23" x14ac:dyDescent="0.25">
      <c r="A15" s="31" t="s">
        <v>0</v>
      </c>
      <c r="B15" s="34" t="s">
        <v>12</v>
      </c>
      <c r="C15" s="36" t="s">
        <v>13</v>
      </c>
      <c r="D15" s="31" t="s">
        <v>1</v>
      </c>
      <c r="E15" s="34" t="s">
        <v>64</v>
      </c>
      <c r="F15" s="31" t="s">
        <v>65</v>
      </c>
      <c r="G15" s="34" t="s">
        <v>857</v>
      </c>
      <c r="H15" s="31" t="s">
        <v>827</v>
      </c>
      <c r="I15" s="34" t="s">
        <v>854</v>
      </c>
      <c r="J15" s="35" t="s">
        <v>855</v>
      </c>
      <c r="K15" s="34" t="s">
        <v>21</v>
      </c>
      <c r="L15" s="31" t="s">
        <v>24</v>
      </c>
      <c r="M15" s="31" t="s">
        <v>25</v>
      </c>
      <c r="N15" s="31" t="s">
        <v>26</v>
      </c>
      <c r="O15" s="34" t="s">
        <v>16</v>
      </c>
      <c r="P15" s="31" t="s">
        <v>17</v>
      </c>
      <c r="Q15" s="31" t="s">
        <v>2</v>
      </c>
      <c r="R15" s="31" t="s">
        <v>3</v>
      </c>
      <c r="S15" s="31" t="s">
        <v>42</v>
      </c>
      <c r="T15" s="31" t="s">
        <v>43</v>
      </c>
    </row>
    <row r="16" spans="1:23" x14ac:dyDescent="0.25">
      <c r="A16" s="31" t="s">
        <v>9</v>
      </c>
      <c r="B16" s="34">
        <v>0</v>
      </c>
      <c r="C16" s="36">
        <v>0</v>
      </c>
      <c r="D16" s="33">
        <v>0.93</v>
      </c>
      <c r="E16" s="37">
        <v>0</v>
      </c>
      <c r="F16" s="28">
        <v>999999</v>
      </c>
      <c r="G16" s="37">
        <v>0</v>
      </c>
      <c r="H16" s="28">
        <v>0</v>
      </c>
      <c r="I16" s="37">
        <v>80</v>
      </c>
      <c r="J16" s="38">
        <v>300</v>
      </c>
      <c r="K16" s="34" t="s">
        <v>10</v>
      </c>
      <c r="L16" s="31">
        <v>1</v>
      </c>
      <c r="O16" s="34" t="s">
        <v>8</v>
      </c>
      <c r="P16" s="31">
        <v>0.27956989247311831</v>
      </c>
      <c r="Q16" s="31" t="s">
        <v>29</v>
      </c>
      <c r="R16" s="31">
        <v>0.58064516129032262</v>
      </c>
      <c r="S16" s="31" t="s">
        <v>831</v>
      </c>
      <c r="T16" s="31">
        <v>0.13978494623655915</v>
      </c>
    </row>
    <row r="17" spans="1:20" x14ac:dyDescent="0.25">
      <c r="A17" s="31" t="s">
        <v>832</v>
      </c>
      <c r="B17" s="34">
        <v>0</v>
      </c>
      <c r="C17" s="36">
        <v>0</v>
      </c>
      <c r="D17" s="33">
        <v>0.93</v>
      </c>
      <c r="E17" s="34">
        <v>0</v>
      </c>
      <c r="F17" s="31">
        <v>999999</v>
      </c>
      <c r="G17" s="34">
        <v>0</v>
      </c>
      <c r="H17" s="28">
        <v>0</v>
      </c>
      <c r="I17" s="37">
        <v>80</v>
      </c>
      <c r="J17" s="38">
        <v>250</v>
      </c>
      <c r="K17" s="34" t="s">
        <v>10</v>
      </c>
      <c r="L17" s="31">
        <v>1</v>
      </c>
      <c r="O17" s="34" t="s">
        <v>8</v>
      </c>
      <c r="P17" s="31">
        <v>0.32520325203252037</v>
      </c>
      <c r="Q17" s="31" t="s">
        <v>29</v>
      </c>
      <c r="R17" s="31">
        <v>0.67479674796747968</v>
      </c>
    </row>
    <row r="18" spans="1:20" x14ac:dyDescent="0.25">
      <c r="A18" s="31" t="s">
        <v>860</v>
      </c>
      <c r="B18" s="34">
        <v>0</v>
      </c>
      <c r="C18" s="36">
        <v>0</v>
      </c>
      <c r="D18" s="33">
        <f>53.4/(53.6+0.93)</f>
        <v>0.97927746194755172</v>
      </c>
      <c r="E18" s="34">
        <v>0</v>
      </c>
      <c r="F18" s="31">
        <v>999999</v>
      </c>
      <c r="G18" s="34">
        <v>0</v>
      </c>
      <c r="H18" s="31">
        <v>0</v>
      </c>
      <c r="I18" s="34">
        <v>80</v>
      </c>
      <c r="J18" s="38">
        <v>225</v>
      </c>
      <c r="K18" s="34" t="s">
        <v>859</v>
      </c>
      <c r="L18" s="31">
        <v>1</v>
      </c>
      <c r="O18" s="34" t="s">
        <v>861</v>
      </c>
      <c r="P18" s="31">
        <v>1</v>
      </c>
    </row>
    <row r="19" spans="1:20" x14ac:dyDescent="0.25">
      <c r="A19" s="31" t="s">
        <v>31</v>
      </c>
      <c r="B19" s="34">
        <v>0</v>
      </c>
      <c r="C19" s="36">
        <v>0</v>
      </c>
      <c r="D19" s="33">
        <v>0.54</v>
      </c>
      <c r="E19" s="37">
        <v>0</v>
      </c>
      <c r="F19" s="28">
        <v>999999</v>
      </c>
      <c r="G19" s="37">
        <v>0</v>
      </c>
      <c r="H19" s="28">
        <v>0</v>
      </c>
      <c r="I19" s="37">
        <v>80</v>
      </c>
      <c r="J19" s="38">
        <v>150</v>
      </c>
      <c r="K19" s="34" t="s">
        <v>19</v>
      </c>
      <c r="L19" s="31">
        <v>1</v>
      </c>
      <c r="O19" s="34" t="s">
        <v>29</v>
      </c>
      <c r="P19" s="31">
        <v>1</v>
      </c>
    </row>
    <row r="20" spans="1:20" x14ac:dyDescent="0.25">
      <c r="A20" s="31" t="s">
        <v>30</v>
      </c>
      <c r="B20" s="34">
        <v>0</v>
      </c>
      <c r="C20" s="36">
        <v>0</v>
      </c>
      <c r="D20" s="33">
        <v>0.54</v>
      </c>
      <c r="E20" s="37">
        <v>0</v>
      </c>
      <c r="F20" s="28">
        <v>999999</v>
      </c>
      <c r="G20" s="37">
        <v>0</v>
      </c>
      <c r="H20" s="28">
        <v>0</v>
      </c>
      <c r="I20" s="37">
        <v>80</v>
      </c>
      <c r="J20" s="38">
        <v>200</v>
      </c>
      <c r="K20" s="34" t="s">
        <v>19</v>
      </c>
      <c r="L20" s="31">
        <v>1</v>
      </c>
      <c r="O20" s="34" t="s">
        <v>8</v>
      </c>
      <c r="P20" s="31">
        <v>1</v>
      </c>
    </row>
    <row r="21" spans="1:20" x14ac:dyDescent="0.25">
      <c r="A21" s="31" t="s">
        <v>862</v>
      </c>
      <c r="B21" s="34">
        <v>0</v>
      </c>
      <c r="C21" s="36">
        <v>0</v>
      </c>
      <c r="D21" s="33">
        <v>0.52800000000000002</v>
      </c>
      <c r="E21" s="37">
        <v>0</v>
      </c>
      <c r="F21" s="28">
        <v>999999</v>
      </c>
      <c r="G21" s="37">
        <v>0</v>
      </c>
      <c r="H21" s="28">
        <v>0</v>
      </c>
      <c r="I21" s="37">
        <v>80</v>
      </c>
      <c r="J21" s="38">
        <v>175</v>
      </c>
      <c r="K21" s="34" t="s">
        <v>19</v>
      </c>
      <c r="L21" s="31">
        <v>1</v>
      </c>
      <c r="O21" s="34" t="s">
        <v>861</v>
      </c>
      <c r="P21" s="31">
        <v>1</v>
      </c>
    </row>
    <row r="22" spans="1:20" x14ac:dyDescent="0.25">
      <c r="A22" s="31" t="s">
        <v>899</v>
      </c>
      <c r="B22" s="34">
        <v>0</v>
      </c>
      <c r="C22" s="36">
        <v>0</v>
      </c>
      <c r="D22" s="33">
        <f>0.66*(1328/1574)</f>
        <v>0.55684879288437106</v>
      </c>
      <c r="E22" s="37">
        <v>0</v>
      </c>
      <c r="F22" s="44">
        <v>50</v>
      </c>
      <c r="G22" s="37">
        <v>0</v>
      </c>
      <c r="H22" s="44">
        <v>0</v>
      </c>
      <c r="I22" s="45"/>
      <c r="J22" s="46"/>
      <c r="K22" s="34" t="s">
        <v>19</v>
      </c>
      <c r="L22" s="31">
        <v>1</v>
      </c>
      <c r="O22" s="34" t="s">
        <v>8</v>
      </c>
      <c r="P22" s="31">
        <v>1</v>
      </c>
    </row>
    <row r="23" spans="1:20" x14ac:dyDescent="0.25">
      <c r="A23" s="31" t="s">
        <v>900</v>
      </c>
      <c r="B23" s="34">
        <v>0</v>
      </c>
      <c r="C23" s="36">
        <v>0</v>
      </c>
      <c r="D23" s="33">
        <f>0.66*(638/767)</f>
        <v>0.54899608865710559</v>
      </c>
      <c r="E23" s="37">
        <v>0</v>
      </c>
      <c r="F23" s="44">
        <v>50</v>
      </c>
      <c r="G23" s="37">
        <v>0</v>
      </c>
      <c r="H23" s="44">
        <v>0</v>
      </c>
      <c r="I23" s="45"/>
      <c r="J23" s="46"/>
      <c r="K23" s="34" t="s">
        <v>19</v>
      </c>
      <c r="L23" s="31">
        <v>1</v>
      </c>
      <c r="O23" s="34" t="s">
        <v>29</v>
      </c>
      <c r="P23" s="31">
        <v>1</v>
      </c>
    </row>
    <row r="24" spans="1:20" x14ac:dyDescent="0.25">
      <c r="A24" s="31" t="s">
        <v>11</v>
      </c>
      <c r="B24" s="34">
        <v>0</v>
      </c>
      <c r="C24" s="36">
        <v>0</v>
      </c>
      <c r="D24" s="33">
        <f>650/(746+59.3)</f>
        <v>0.80715261393269588</v>
      </c>
      <c r="E24" s="37">
        <v>0</v>
      </c>
      <c r="F24" s="28">
        <v>999999</v>
      </c>
      <c r="G24" s="37">
        <v>43.1</v>
      </c>
      <c r="H24" s="33">
        <f>44/650</f>
        <v>6.7692307692307691E-2</v>
      </c>
      <c r="I24" s="37">
        <v>80</v>
      </c>
      <c r="J24" s="38">
        <v>100</v>
      </c>
      <c r="K24" s="34" t="s">
        <v>7</v>
      </c>
      <c r="L24" s="33">
        <f>746/(746+59.3)</f>
        <v>0.92636284614429409</v>
      </c>
      <c r="M24" s="31" t="s">
        <v>830</v>
      </c>
      <c r="N24" s="33">
        <f>1-L24</f>
        <v>7.3637153855705906E-2</v>
      </c>
      <c r="O24" s="34" t="s">
        <v>8</v>
      </c>
      <c r="P24" s="31">
        <v>1</v>
      </c>
    </row>
    <row r="25" spans="1:20" x14ac:dyDescent="0.25">
      <c r="A25" s="31" t="s">
        <v>833</v>
      </c>
      <c r="B25" s="34">
        <v>0</v>
      </c>
      <c r="C25" s="36">
        <v>0</v>
      </c>
      <c r="D25" s="33">
        <f>(8.9+19.9)/(34.2+3.5)</f>
        <v>0.76392572944297066</v>
      </c>
      <c r="E25" s="37">
        <v>0</v>
      </c>
      <c r="F25" s="28">
        <v>999999</v>
      </c>
      <c r="G25" s="37">
        <v>43.1</v>
      </c>
      <c r="H25" s="33">
        <f>3.88/(8.9+19.9)</f>
        <v>0.13472222222222224</v>
      </c>
      <c r="I25" s="37">
        <v>80</v>
      </c>
      <c r="J25" s="38">
        <v>50</v>
      </c>
      <c r="K25" s="34" t="s">
        <v>7</v>
      </c>
      <c r="L25" s="33">
        <f>34.2/(34.2+3.5)</f>
        <v>0.90716180371352784</v>
      </c>
      <c r="M25" s="31" t="s">
        <v>830</v>
      </c>
      <c r="N25" s="33">
        <f t="shared" ref="N25:N29" si="0">1-L25</f>
        <v>9.2838196286472163E-2</v>
      </c>
      <c r="O25" s="34" t="s">
        <v>8</v>
      </c>
      <c r="P25" s="33">
        <f>8.9/(8.9+19.9)</f>
        <v>0.30902777777777785</v>
      </c>
      <c r="Q25" s="31" t="s">
        <v>29</v>
      </c>
      <c r="R25" s="33">
        <v>0.6909722222222221</v>
      </c>
    </row>
    <row r="26" spans="1:20" x14ac:dyDescent="0.25">
      <c r="A26" s="31" t="s">
        <v>834</v>
      </c>
      <c r="B26" s="34">
        <v>0</v>
      </c>
      <c r="C26" s="36">
        <v>0</v>
      </c>
      <c r="D26" s="33">
        <f>((14700+43500+1800)/3600*43)/(30600/3600*120)</f>
        <v>0.70261437908496738</v>
      </c>
      <c r="E26" s="37">
        <v>0</v>
      </c>
      <c r="F26" s="28">
        <v>999999</v>
      </c>
      <c r="G26" s="37">
        <v>43.1</v>
      </c>
      <c r="H26" s="33">
        <f>3.88/(8.9+19.9)</f>
        <v>0.13472222222222224</v>
      </c>
      <c r="I26" s="37">
        <v>80</v>
      </c>
      <c r="J26" s="38">
        <v>0</v>
      </c>
      <c r="K26" s="34" t="s">
        <v>7</v>
      </c>
      <c r="L26" s="33">
        <f>34.2/(34.2+3.5)</f>
        <v>0.90716180371352784</v>
      </c>
      <c r="M26" s="31" t="s">
        <v>830</v>
      </c>
      <c r="N26" s="33">
        <f t="shared" si="0"/>
        <v>9.2838196286472163E-2</v>
      </c>
      <c r="O26" s="34" t="s">
        <v>8</v>
      </c>
      <c r="P26" s="33">
        <f>14.7/(14.7+1.8+43.5)</f>
        <v>0.245</v>
      </c>
      <c r="Q26" s="31" t="s">
        <v>29</v>
      </c>
      <c r="R26" s="33">
        <f>1.8/(14.7+1.8+43.5)</f>
        <v>3.0000000000000002E-2</v>
      </c>
      <c r="S26" s="31" t="s">
        <v>831</v>
      </c>
      <c r="T26" s="33">
        <f>1-P26-R26</f>
        <v>0.72499999999999998</v>
      </c>
    </row>
    <row r="27" spans="1:20" x14ac:dyDescent="0.25">
      <c r="A27" s="31" t="s">
        <v>863</v>
      </c>
      <c r="B27" s="34">
        <v>0</v>
      </c>
      <c r="C27" s="36">
        <v>0</v>
      </c>
      <c r="D27" s="33">
        <f>12.54/(15.08+0.35)</f>
        <v>0.81270252754374595</v>
      </c>
      <c r="E27" s="37">
        <v>0</v>
      </c>
      <c r="F27" s="28">
        <v>999999</v>
      </c>
      <c r="G27" s="37">
        <v>43.1</v>
      </c>
      <c r="H27" s="33">
        <f>0.69/12.54</f>
        <v>5.5023923444976079E-2</v>
      </c>
      <c r="I27" s="37">
        <v>80</v>
      </c>
      <c r="J27" s="38">
        <v>125</v>
      </c>
      <c r="K27" s="34" t="s">
        <v>7</v>
      </c>
      <c r="L27" s="33">
        <f>15.08/(15.08+0.35)</f>
        <v>0.97731691510045371</v>
      </c>
      <c r="M27" s="31" t="s">
        <v>830</v>
      </c>
      <c r="N27" s="33">
        <f t="shared" si="0"/>
        <v>2.2683084899546291E-2</v>
      </c>
      <c r="O27" s="34" t="s">
        <v>861</v>
      </c>
      <c r="P27" s="31">
        <v>1</v>
      </c>
    </row>
    <row r="28" spans="1:20" x14ac:dyDescent="0.25">
      <c r="A28" s="31" t="s">
        <v>901</v>
      </c>
      <c r="B28" s="34">
        <v>0</v>
      </c>
      <c r="C28" s="36">
        <v>0</v>
      </c>
      <c r="D28" s="33">
        <f>19.92/(22.55+1.02)</f>
        <v>0.84514212982605008</v>
      </c>
      <c r="E28" s="37">
        <v>0</v>
      </c>
      <c r="F28" s="44">
        <v>50</v>
      </c>
      <c r="G28" s="37">
        <v>19.899999999999999</v>
      </c>
      <c r="H28" s="33">
        <f>1.37/19.9</f>
        <v>6.8844221105527653E-2</v>
      </c>
      <c r="I28" s="45"/>
      <c r="J28" s="46"/>
      <c r="K28" s="34" t="s">
        <v>7</v>
      </c>
      <c r="L28" s="33">
        <f>22.55/(22.55+1.02)</f>
        <v>0.95672464997878659</v>
      </c>
      <c r="M28" s="31" t="s">
        <v>830</v>
      </c>
      <c r="N28" s="33">
        <f>1-L28</f>
        <v>4.327535002121341E-2</v>
      </c>
      <c r="O28" s="34" t="s">
        <v>8</v>
      </c>
      <c r="P28" s="31">
        <v>1</v>
      </c>
    </row>
    <row r="29" spans="1:20" x14ac:dyDescent="0.25">
      <c r="A29" s="31" t="s">
        <v>902</v>
      </c>
      <c r="B29" s="34">
        <v>0</v>
      </c>
      <c r="C29" s="36">
        <v>0</v>
      </c>
      <c r="D29" s="33">
        <f>28.84/(31.67+2.13)</f>
        <v>0.85325443786982236</v>
      </c>
      <c r="E29" s="37">
        <v>0</v>
      </c>
      <c r="F29" s="44">
        <v>50</v>
      </c>
      <c r="G29" s="37">
        <v>28.835000000000001</v>
      </c>
      <c r="H29" s="33">
        <f>1.93/28.84</f>
        <v>6.6920943134535366E-2</v>
      </c>
      <c r="I29" s="45"/>
      <c r="J29" s="46"/>
      <c r="K29" s="34" t="s">
        <v>7</v>
      </c>
      <c r="L29" s="33">
        <f>31.67/(31.67+2.13)</f>
        <v>0.93698224852070999</v>
      </c>
      <c r="M29" s="31" t="s">
        <v>830</v>
      </c>
      <c r="N29" s="33">
        <f>1-L29</f>
        <v>6.3017751479290007E-2</v>
      </c>
      <c r="O29" s="34" t="s">
        <v>29</v>
      </c>
      <c r="P29" s="31">
        <v>1</v>
      </c>
    </row>
    <row r="30" spans="1:20" x14ac:dyDescent="0.25">
      <c r="A30" s="31" t="s">
        <v>50</v>
      </c>
      <c r="B30" s="34">
        <v>0</v>
      </c>
      <c r="C30" s="36">
        <v>0</v>
      </c>
      <c r="D30" s="49">
        <f>1.5/1.5</f>
        <v>1</v>
      </c>
      <c r="E30" s="37">
        <v>0</v>
      </c>
      <c r="F30" s="28">
        <v>400</v>
      </c>
      <c r="G30" s="37">
        <v>0</v>
      </c>
      <c r="H30" s="28">
        <v>0</v>
      </c>
      <c r="I30" s="37">
        <v>240</v>
      </c>
      <c r="J30" s="38">
        <v>300</v>
      </c>
      <c r="K30" s="34" t="s">
        <v>8</v>
      </c>
      <c r="L30" s="31">
        <v>1</v>
      </c>
      <c r="O30" s="34" t="s">
        <v>27</v>
      </c>
      <c r="P30" s="31">
        <v>1</v>
      </c>
    </row>
    <row r="31" spans="1:20" x14ac:dyDescent="0.25">
      <c r="A31" s="31" t="s">
        <v>51</v>
      </c>
      <c r="B31" s="34">
        <v>0</v>
      </c>
      <c r="C31" s="36">
        <v>0</v>
      </c>
      <c r="D31" s="49">
        <f>1.5/1.6</f>
        <v>0.9375</v>
      </c>
      <c r="E31" s="37">
        <v>0</v>
      </c>
      <c r="F31" s="28">
        <v>999999</v>
      </c>
      <c r="G31" s="37">
        <v>0</v>
      </c>
      <c r="H31" s="28">
        <v>0</v>
      </c>
      <c r="I31" s="37">
        <v>240</v>
      </c>
      <c r="J31" s="38">
        <v>250</v>
      </c>
      <c r="K31" s="34" t="s">
        <v>29</v>
      </c>
      <c r="L31" s="31">
        <v>1</v>
      </c>
      <c r="O31" s="34" t="s">
        <v>27</v>
      </c>
      <c r="P31" s="31">
        <v>1</v>
      </c>
    </row>
    <row r="32" spans="1:20" x14ac:dyDescent="0.25">
      <c r="A32" s="31" t="s">
        <v>44</v>
      </c>
      <c r="B32" s="34">
        <v>0</v>
      </c>
      <c r="C32" s="36">
        <v>0</v>
      </c>
      <c r="D32" s="49">
        <f>0.2/1.9</f>
        <v>0.10526315789473685</v>
      </c>
      <c r="E32" s="37">
        <v>0</v>
      </c>
      <c r="F32" s="28">
        <v>999999</v>
      </c>
      <c r="G32" s="37">
        <v>0</v>
      </c>
      <c r="H32" s="28">
        <v>0</v>
      </c>
      <c r="I32" s="37">
        <v>240</v>
      </c>
      <c r="J32" s="38">
        <v>200</v>
      </c>
      <c r="K32" s="34" t="s">
        <v>29</v>
      </c>
      <c r="L32" s="31">
        <v>1</v>
      </c>
      <c r="O32" s="34" t="s">
        <v>28</v>
      </c>
      <c r="P32" s="31">
        <v>1</v>
      </c>
    </row>
    <row r="33" spans="1:16" x14ac:dyDescent="0.25">
      <c r="A33" s="31" t="s">
        <v>45</v>
      </c>
      <c r="B33" s="34">
        <v>0</v>
      </c>
      <c r="C33" s="36">
        <v>0</v>
      </c>
      <c r="D33" s="49">
        <f>2.7/3.5</f>
        <v>0.77142857142857146</v>
      </c>
      <c r="E33" s="37">
        <v>0</v>
      </c>
      <c r="F33" s="28">
        <v>999999</v>
      </c>
      <c r="G33" s="37">
        <v>0</v>
      </c>
      <c r="H33" s="28">
        <v>0</v>
      </c>
      <c r="I33" s="37">
        <v>240</v>
      </c>
      <c r="J33" s="38">
        <v>150</v>
      </c>
      <c r="K33" s="34" t="s">
        <v>29</v>
      </c>
      <c r="L33" s="31">
        <v>1</v>
      </c>
      <c r="O33" s="34" t="s">
        <v>28</v>
      </c>
      <c r="P33" s="31">
        <v>1</v>
      </c>
    </row>
    <row r="34" spans="1:16" x14ac:dyDescent="0.25">
      <c r="A34" s="31" t="s">
        <v>58</v>
      </c>
      <c r="B34" s="34">
        <v>0</v>
      </c>
      <c r="C34" s="36">
        <v>0</v>
      </c>
      <c r="D34" s="49">
        <f>5.5/6.9</f>
        <v>0.79710144927536231</v>
      </c>
      <c r="E34" s="37">
        <v>0</v>
      </c>
      <c r="F34" s="28">
        <v>999999</v>
      </c>
      <c r="G34" s="37">
        <v>0</v>
      </c>
      <c r="H34" s="28">
        <v>0</v>
      </c>
      <c r="I34" s="37">
        <v>240</v>
      </c>
      <c r="J34" s="38">
        <v>100</v>
      </c>
      <c r="K34" s="34" t="s">
        <v>29</v>
      </c>
      <c r="L34" s="31">
        <v>1</v>
      </c>
      <c r="O34" s="34" t="s">
        <v>28</v>
      </c>
      <c r="P34" s="31">
        <v>1</v>
      </c>
    </row>
    <row r="35" spans="1:16" x14ac:dyDescent="0.25">
      <c r="A35" s="31" t="s">
        <v>59</v>
      </c>
      <c r="B35" s="34">
        <v>0</v>
      </c>
      <c r="C35" s="36">
        <v>0</v>
      </c>
      <c r="D35" s="49">
        <f>13.5/7.9</f>
        <v>1.7088607594936709</v>
      </c>
      <c r="E35" s="37">
        <v>0</v>
      </c>
      <c r="F35" s="28">
        <v>999999</v>
      </c>
      <c r="G35" s="37">
        <v>0</v>
      </c>
      <c r="H35" s="28">
        <v>0</v>
      </c>
      <c r="I35" s="37">
        <v>240</v>
      </c>
      <c r="J35" s="38">
        <v>50</v>
      </c>
      <c r="K35" s="34" t="s">
        <v>29</v>
      </c>
      <c r="L35" s="31">
        <v>1</v>
      </c>
      <c r="O35" s="34" t="s">
        <v>28</v>
      </c>
      <c r="P35" s="31">
        <v>1</v>
      </c>
    </row>
    <row r="36" spans="1:16" x14ac:dyDescent="0.25">
      <c r="A36" s="31" t="s">
        <v>864</v>
      </c>
      <c r="B36" s="34">
        <v>0</v>
      </c>
      <c r="C36" s="36">
        <v>0</v>
      </c>
      <c r="D36" s="49">
        <f>1.5/1.6</f>
        <v>0.9375</v>
      </c>
      <c r="E36" s="37">
        <v>0</v>
      </c>
      <c r="F36" s="48">
        <v>47.17</v>
      </c>
      <c r="G36" s="37">
        <v>0</v>
      </c>
      <c r="H36" s="28">
        <v>0</v>
      </c>
      <c r="I36" s="37">
        <v>240</v>
      </c>
      <c r="J36" s="38">
        <v>75</v>
      </c>
      <c r="K36" s="34" t="s">
        <v>861</v>
      </c>
      <c r="L36" s="31">
        <v>1</v>
      </c>
      <c r="O36" s="34" t="s">
        <v>27</v>
      </c>
      <c r="P36" s="31">
        <v>1</v>
      </c>
    </row>
    <row r="37" spans="1:16" x14ac:dyDescent="0.25">
      <c r="A37" s="31" t="s">
        <v>865</v>
      </c>
      <c r="B37" s="34">
        <v>0</v>
      </c>
      <c r="C37" s="36">
        <v>0</v>
      </c>
      <c r="D37" s="49">
        <f>20/220</f>
        <v>9.0909090909090912E-2</v>
      </c>
      <c r="E37" s="37">
        <v>0</v>
      </c>
      <c r="F37" s="48">
        <v>0.1</v>
      </c>
      <c r="G37" s="37">
        <v>0</v>
      </c>
      <c r="H37" s="28">
        <v>0</v>
      </c>
      <c r="I37" s="37">
        <v>240</v>
      </c>
      <c r="J37" s="38">
        <v>125</v>
      </c>
      <c r="K37" s="34" t="s">
        <v>861</v>
      </c>
      <c r="L37" s="31">
        <v>1</v>
      </c>
      <c r="O37" s="34" t="s">
        <v>28</v>
      </c>
      <c r="P37" s="31">
        <v>1</v>
      </c>
    </row>
    <row r="38" spans="1:16" x14ac:dyDescent="0.25">
      <c r="A38" s="31" t="s">
        <v>866</v>
      </c>
      <c r="B38" s="34">
        <v>0</v>
      </c>
      <c r="C38" s="36">
        <v>0</v>
      </c>
      <c r="D38" s="49">
        <f>270/430</f>
        <v>0.62790697674418605</v>
      </c>
      <c r="E38" s="37">
        <v>0</v>
      </c>
      <c r="F38" s="48">
        <v>0.56000000000000005</v>
      </c>
      <c r="G38" s="37">
        <v>0</v>
      </c>
      <c r="H38" s="28">
        <v>0</v>
      </c>
      <c r="I38" s="37">
        <v>240</v>
      </c>
      <c r="J38" s="38">
        <v>175</v>
      </c>
      <c r="K38" s="34" t="s">
        <v>861</v>
      </c>
      <c r="L38" s="31">
        <v>1</v>
      </c>
      <c r="O38" s="34" t="s">
        <v>28</v>
      </c>
      <c r="P38" s="31">
        <v>1</v>
      </c>
    </row>
    <row r="39" spans="1:16" x14ac:dyDescent="0.25">
      <c r="A39" s="31" t="s">
        <v>867</v>
      </c>
      <c r="B39" s="34">
        <v>0</v>
      </c>
      <c r="C39" s="36">
        <v>0</v>
      </c>
      <c r="D39" s="49">
        <f>550/870</f>
        <v>0.63218390804597702</v>
      </c>
      <c r="E39" s="37">
        <v>0</v>
      </c>
      <c r="F39" s="48">
        <v>10.220000000000001</v>
      </c>
      <c r="G39" s="37">
        <v>0</v>
      </c>
      <c r="H39" s="28">
        <v>0</v>
      </c>
      <c r="I39" s="37">
        <v>240</v>
      </c>
      <c r="J39" s="38">
        <v>225</v>
      </c>
      <c r="K39" s="34" t="s">
        <v>861</v>
      </c>
      <c r="L39" s="31">
        <v>1</v>
      </c>
      <c r="O39" s="34" t="s">
        <v>28</v>
      </c>
      <c r="P39" s="31">
        <v>1</v>
      </c>
    </row>
    <row r="40" spans="1:16" x14ac:dyDescent="0.25">
      <c r="A40" s="31" t="s">
        <v>868</v>
      </c>
      <c r="B40" s="34">
        <v>0</v>
      </c>
      <c r="C40" s="36">
        <v>0</v>
      </c>
      <c r="D40" s="49">
        <f>1350/1000</f>
        <v>1.35</v>
      </c>
      <c r="E40" s="37">
        <v>0</v>
      </c>
      <c r="F40" s="48">
        <v>26.68</v>
      </c>
      <c r="G40" s="37">
        <v>0</v>
      </c>
      <c r="H40" s="28">
        <v>0</v>
      </c>
      <c r="I40" s="37">
        <v>240</v>
      </c>
      <c r="J40" s="38">
        <v>275</v>
      </c>
      <c r="K40" s="34" t="s">
        <v>861</v>
      </c>
      <c r="L40" s="31">
        <v>1</v>
      </c>
      <c r="O40" s="34" t="s">
        <v>28</v>
      </c>
      <c r="P40" s="31">
        <v>1</v>
      </c>
    </row>
    <row r="41" spans="1:16" x14ac:dyDescent="0.25">
      <c r="B41" s="35"/>
      <c r="C41" s="35"/>
      <c r="E41" s="38"/>
      <c r="F41" s="28"/>
      <c r="G41" s="38"/>
      <c r="H41" s="28"/>
      <c r="I41" s="38"/>
      <c r="J41" s="38"/>
      <c r="K41" s="35"/>
      <c r="O41" s="35"/>
    </row>
    <row r="42" spans="1:16" x14ac:dyDescent="0.25">
      <c r="A42" s="43" t="s">
        <v>892</v>
      </c>
      <c r="B42" s="35"/>
      <c r="C42" s="35"/>
      <c r="E42" s="38"/>
      <c r="F42" s="28"/>
      <c r="G42" s="38"/>
      <c r="H42" s="28"/>
      <c r="I42" s="38"/>
      <c r="J42" s="38"/>
      <c r="K42" s="35"/>
      <c r="O42" s="35"/>
    </row>
    <row r="43" spans="1:16" x14ac:dyDescent="0.25">
      <c r="A43" s="50" t="s">
        <v>898</v>
      </c>
      <c r="B43" s="50"/>
      <c r="C43" s="35"/>
      <c r="E43" s="38"/>
      <c r="F43" s="28"/>
      <c r="G43" s="38"/>
      <c r="H43" s="28"/>
      <c r="I43" s="38"/>
      <c r="J43" s="38"/>
      <c r="K43" s="35"/>
      <c r="O43" s="35"/>
    </row>
    <row r="44" spans="1:16" x14ac:dyDescent="0.25">
      <c r="A44" s="42"/>
      <c r="B44" s="35"/>
      <c r="C44" s="35"/>
      <c r="E44" s="38"/>
      <c r="F44" s="28"/>
      <c r="G44" s="38"/>
      <c r="H44" s="28"/>
      <c r="I44" s="38"/>
      <c r="J44" s="38"/>
      <c r="K44" s="35"/>
      <c r="O44" s="35"/>
    </row>
    <row r="45" spans="1:16" x14ac:dyDescent="0.25">
      <c r="A45" s="43" t="s">
        <v>893</v>
      </c>
      <c r="B45" s="35"/>
      <c r="C45" s="35"/>
      <c r="E45" s="38"/>
      <c r="F45" s="28"/>
      <c r="G45" s="38"/>
      <c r="H45" s="28"/>
      <c r="I45" s="38"/>
      <c r="J45" s="38"/>
      <c r="K45" s="35"/>
      <c r="O45" s="35"/>
    </row>
    <row r="46" spans="1:16" x14ac:dyDescent="0.25">
      <c r="A46" s="42" t="s">
        <v>888</v>
      </c>
      <c r="B46" s="35"/>
      <c r="C46" s="35"/>
      <c r="E46" s="38"/>
      <c r="F46" s="28"/>
      <c r="G46" s="38"/>
      <c r="H46" s="28"/>
      <c r="I46" s="38"/>
      <c r="J46" s="38"/>
      <c r="K46" s="35"/>
      <c r="O46" s="35"/>
    </row>
    <row r="47" spans="1:16" x14ac:dyDescent="0.25">
      <c r="A47" s="42"/>
      <c r="B47" s="35"/>
      <c r="C47" s="35"/>
      <c r="E47" s="38"/>
      <c r="F47" s="28"/>
      <c r="G47" s="38"/>
      <c r="H47" s="28"/>
      <c r="I47" s="38"/>
      <c r="J47" s="38"/>
      <c r="K47" s="35"/>
      <c r="O47" s="35"/>
    </row>
    <row r="48" spans="1:16" x14ac:dyDescent="0.25">
      <c r="A48" s="43" t="s">
        <v>894</v>
      </c>
      <c r="B48" s="35"/>
      <c r="C48" s="35"/>
      <c r="E48" s="38"/>
      <c r="F48" s="28"/>
      <c r="G48" s="38"/>
      <c r="H48" s="28"/>
      <c r="I48" s="38"/>
      <c r="J48" s="38"/>
      <c r="K48" s="35"/>
      <c r="O48" s="35"/>
    </row>
    <row r="49" spans="1:15" x14ac:dyDescent="0.25">
      <c r="A49" s="42" t="s">
        <v>888</v>
      </c>
      <c r="B49" s="35"/>
      <c r="C49" s="35"/>
      <c r="E49" s="38"/>
      <c r="F49" s="28"/>
      <c r="G49" s="38"/>
      <c r="H49" s="28"/>
      <c r="I49" s="38"/>
      <c r="J49" s="38"/>
      <c r="K49" s="35"/>
      <c r="O49" s="35"/>
    </row>
    <row r="51" spans="1:15" x14ac:dyDescent="0.25">
      <c r="A51" s="43" t="s">
        <v>891</v>
      </c>
    </row>
    <row r="52" spans="1:15" x14ac:dyDescent="0.25">
      <c r="A52" s="31" t="s">
        <v>20</v>
      </c>
      <c r="B52" s="31" t="s">
        <v>823</v>
      </c>
      <c r="C52" s="31" t="s">
        <v>824</v>
      </c>
      <c r="D52" s="31" t="s">
        <v>826</v>
      </c>
      <c r="E52" s="31" t="s">
        <v>825</v>
      </c>
    </row>
    <row r="53" spans="1:15" x14ac:dyDescent="0.25">
      <c r="A53" s="47">
        <v>32</v>
      </c>
      <c r="B53" s="31">
        <v>0.08</v>
      </c>
      <c r="C53" s="31">
        <v>20</v>
      </c>
      <c r="D53" s="31">
        <v>30</v>
      </c>
      <c r="E53" s="31">
        <v>400</v>
      </c>
    </row>
    <row r="55" spans="1:15" x14ac:dyDescent="0.25">
      <c r="A55" s="41" t="s">
        <v>895</v>
      </c>
    </row>
    <row r="56" spans="1:15" x14ac:dyDescent="0.25">
      <c r="A56" s="31" t="s">
        <v>888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workbookViewId="0">
      <selection activeCell="D26" sqref="D26"/>
    </sheetView>
  </sheetViews>
  <sheetFormatPr baseColWidth="10" defaultColWidth="9.140625" defaultRowHeight="15" x14ac:dyDescent="0.25"/>
  <cols>
    <col min="1" max="1" width="11.28515625" style="31" bestFit="1" customWidth="1"/>
    <col min="2" max="2" width="6.42578125" style="31" bestFit="1" customWidth="1"/>
    <col min="3" max="3" width="5.7109375" style="31" bestFit="1" customWidth="1"/>
    <col min="4" max="4" width="7.85546875" style="31" bestFit="1" customWidth="1"/>
    <col min="5" max="5" width="7.85546875" style="31" customWidth="1"/>
    <col min="6" max="6" width="11.85546875" style="31" customWidth="1"/>
    <col min="7" max="7" width="21.42578125" style="31" customWidth="1"/>
    <col min="8" max="8" width="11.85546875" style="31" customWidth="1"/>
    <col min="9" max="9" width="5" style="31" customWidth="1"/>
    <col min="10" max="10" width="4.7109375" style="31" customWidth="1"/>
    <col min="11" max="11" width="9.42578125" style="31" bestFit="1" customWidth="1"/>
    <col min="12" max="16" width="9.42578125" style="31" customWidth="1"/>
    <col min="17" max="17" width="8.42578125" style="31" bestFit="1" customWidth="1"/>
    <col min="18" max="18" width="7.7109375" style="31" bestFit="1" customWidth="1"/>
    <col min="19" max="19" width="9.28515625" style="31" bestFit="1" customWidth="1"/>
    <col min="20" max="20" width="7.7109375" style="31" bestFit="1" customWidth="1"/>
    <col min="21" max="21" width="9.28515625" style="31" bestFit="1" customWidth="1"/>
    <col min="22" max="22" width="7.7109375" style="31" bestFit="1" customWidth="1"/>
    <col min="23" max="23" width="6.140625" style="31" bestFit="1" customWidth="1"/>
    <col min="24" max="24" width="7.7109375" style="31" bestFit="1" customWidth="1"/>
    <col min="25" max="25" width="6.140625" style="31" bestFit="1" customWidth="1"/>
    <col min="26" max="26" width="7.7109375" style="31" bestFit="1" customWidth="1"/>
    <col min="27" max="27" width="6.140625" style="31" bestFit="1" customWidth="1"/>
    <col min="28" max="28" width="7.7109375" style="31" bestFit="1" customWidth="1"/>
    <col min="29" max="16384" width="9.140625" style="31"/>
  </cols>
  <sheetData>
    <row r="1" spans="1:23" x14ac:dyDescent="0.25">
      <c r="A1" s="41" t="s">
        <v>887</v>
      </c>
    </row>
    <row r="2" spans="1:23" x14ac:dyDescent="0.25">
      <c r="A2" s="31" t="s">
        <v>888</v>
      </c>
    </row>
    <row r="4" spans="1:23" x14ac:dyDescent="0.25">
      <c r="A4" s="41" t="s">
        <v>889</v>
      </c>
      <c r="U4" s="33"/>
    </row>
    <row r="5" spans="1:23" x14ac:dyDescent="0.25">
      <c r="A5" s="31" t="s">
        <v>0</v>
      </c>
      <c r="B5" s="31" t="s">
        <v>12</v>
      </c>
      <c r="C5" s="31" t="s">
        <v>13</v>
      </c>
      <c r="D5" s="31" t="s">
        <v>4</v>
      </c>
      <c r="E5" s="31" t="s">
        <v>15</v>
      </c>
      <c r="F5" s="31" t="s">
        <v>854</v>
      </c>
      <c r="G5" s="31" t="s">
        <v>855</v>
      </c>
    </row>
    <row r="6" spans="1:23" x14ac:dyDescent="0.25">
      <c r="A6" s="31" t="s">
        <v>27</v>
      </c>
      <c r="B6" s="31">
        <v>0</v>
      </c>
      <c r="C6" s="31">
        <v>0</v>
      </c>
      <c r="D6" s="31" t="s">
        <v>27</v>
      </c>
      <c r="E6" s="47">
        <v>746.9</v>
      </c>
      <c r="F6" s="31">
        <v>320</v>
      </c>
      <c r="G6" s="31">
        <v>250</v>
      </c>
    </row>
    <row r="7" spans="1:23" x14ac:dyDescent="0.25">
      <c r="A7" s="31" t="s">
        <v>54</v>
      </c>
      <c r="B7" s="31">
        <v>0</v>
      </c>
      <c r="C7" s="31">
        <v>0</v>
      </c>
      <c r="D7" s="31" t="s">
        <v>28</v>
      </c>
      <c r="E7" s="47">
        <v>8</v>
      </c>
      <c r="F7" s="31">
        <v>320</v>
      </c>
      <c r="G7" s="31">
        <v>200</v>
      </c>
    </row>
    <row r="8" spans="1:23" x14ac:dyDescent="0.25">
      <c r="A8" s="31" t="s">
        <v>55</v>
      </c>
      <c r="B8" s="31">
        <v>0</v>
      </c>
      <c r="C8" s="31">
        <v>0</v>
      </c>
      <c r="D8" s="31" t="s">
        <v>28</v>
      </c>
      <c r="E8" s="47">
        <v>21.3</v>
      </c>
      <c r="F8" s="31">
        <v>320</v>
      </c>
      <c r="G8" s="31">
        <v>150</v>
      </c>
    </row>
    <row r="9" spans="1:23" x14ac:dyDescent="0.25">
      <c r="A9" s="31" t="s">
        <v>56</v>
      </c>
      <c r="B9" s="31">
        <v>0</v>
      </c>
      <c r="C9" s="31">
        <v>0</v>
      </c>
      <c r="D9" s="31" t="s">
        <v>28</v>
      </c>
      <c r="E9" s="47">
        <v>141.9</v>
      </c>
      <c r="F9" s="31">
        <v>320</v>
      </c>
      <c r="G9" s="31">
        <v>100</v>
      </c>
    </row>
    <row r="10" spans="1:23" x14ac:dyDescent="0.25">
      <c r="A10" s="31" t="s">
        <v>57</v>
      </c>
      <c r="B10" s="31">
        <v>0</v>
      </c>
      <c r="C10" s="31">
        <v>0</v>
      </c>
      <c r="D10" s="31" t="s">
        <v>28</v>
      </c>
      <c r="E10" s="47">
        <v>513</v>
      </c>
      <c r="F10" s="31">
        <v>320</v>
      </c>
      <c r="G10" s="31">
        <v>50</v>
      </c>
    </row>
    <row r="11" spans="1:23" x14ac:dyDescent="0.25">
      <c r="A11" s="31" t="s">
        <v>831</v>
      </c>
      <c r="B11" s="31">
        <v>0</v>
      </c>
      <c r="C11" s="31">
        <v>0</v>
      </c>
      <c r="D11" s="31" t="s">
        <v>831</v>
      </c>
      <c r="E11" s="47">
        <v>160</v>
      </c>
      <c r="F11" s="31">
        <v>320</v>
      </c>
      <c r="G11" s="31">
        <v>0</v>
      </c>
      <c r="U11" s="33"/>
      <c r="W11" s="33"/>
    </row>
    <row r="14" spans="1:23" x14ac:dyDescent="0.25">
      <c r="A14" s="41" t="s">
        <v>890</v>
      </c>
    </row>
    <row r="15" spans="1:23" x14ac:dyDescent="0.25">
      <c r="A15" s="31" t="s">
        <v>0</v>
      </c>
      <c r="B15" s="34" t="s">
        <v>12</v>
      </c>
      <c r="C15" s="36" t="s">
        <v>13</v>
      </c>
      <c r="D15" s="31" t="s">
        <v>1</v>
      </c>
      <c r="E15" s="34" t="s">
        <v>64</v>
      </c>
      <c r="F15" s="31" t="s">
        <v>65</v>
      </c>
      <c r="G15" s="34" t="s">
        <v>857</v>
      </c>
      <c r="H15" s="31" t="s">
        <v>827</v>
      </c>
      <c r="I15" s="34" t="s">
        <v>854</v>
      </c>
      <c r="J15" s="35" t="s">
        <v>855</v>
      </c>
      <c r="K15" s="34" t="s">
        <v>21</v>
      </c>
      <c r="L15" s="31" t="s">
        <v>24</v>
      </c>
      <c r="M15" s="31" t="s">
        <v>25</v>
      </c>
      <c r="N15" s="31" t="s">
        <v>26</v>
      </c>
      <c r="O15" s="34" t="s">
        <v>16</v>
      </c>
      <c r="P15" s="31" t="s">
        <v>17</v>
      </c>
      <c r="Q15" s="31" t="s">
        <v>2</v>
      </c>
      <c r="R15" s="31" t="s">
        <v>3</v>
      </c>
      <c r="S15" s="31" t="s">
        <v>42</v>
      </c>
      <c r="T15" s="31" t="s">
        <v>43</v>
      </c>
    </row>
    <row r="16" spans="1:23" x14ac:dyDescent="0.25">
      <c r="A16" s="31" t="s">
        <v>9</v>
      </c>
      <c r="B16" s="34">
        <v>0</v>
      </c>
      <c r="C16" s="36">
        <v>0</v>
      </c>
      <c r="D16" s="33">
        <v>0.93</v>
      </c>
      <c r="E16" s="37">
        <v>0</v>
      </c>
      <c r="F16" s="28">
        <v>999999</v>
      </c>
      <c r="G16" s="37">
        <v>0</v>
      </c>
      <c r="H16" s="28">
        <v>0</v>
      </c>
      <c r="I16" s="37">
        <v>80</v>
      </c>
      <c r="J16" s="38">
        <v>300</v>
      </c>
      <c r="K16" s="34" t="s">
        <v>10</v>
      </c>
      <c r="L16" s="31">
        <v>1</v>
      </c>
      <c r="O16" s="34" t="s">
        <v>8</v>
      </c>
      <c r="P16" s="31">
        <v>0.27956989247311831</v>
      </c>
      <c r="Q16" s="31" t="s">
        <v>29</v>
      </c>
      <c r="R16" s="31">
        <v>0.58064516129032262</v>
      </c>
      <c r="S16" s="31" t="s">
        <v>831</v>
      </c>
      <c r="T16" s="31">
        <v>0.13978494623655915</v>
      </c>
    </row>
    <row r="17" spans="1:20" x14ac:dyDescent="0.25">
      <c r="A17" s="31" t="s">
        <v>832</v>
      </c>
      <c r="B17" s="34">
        <v>0</v>
      </c>
      <c r="C17" s="36">
        <v>0</v>
      </c>
      <c r="D17" s="33">
        <v>0.93</v>
      </c>
      <c r="E17" s="34">
        <v>0</v>
      </c>
      <c r="F17" s="31">
        <v>999999</v>
      </c>
      <c r="G17" s="34">
        <v>0</v>
      </c>
      <c r="H17" s="28">
        <v>0</v>
      </c>
      <c r="I17" s="37">
        <v>80</v>
      </c>
      <c r="J17" s="38">
        <v>250</v>
      </c>
      <c r="K17" s="34" t="s">
        <v>10</v>
      </c>
      <c r="L17" s="31">
        <v>1</v>
      </c>
      <c r="O17" s="34" t="s">
        <v>8</v>
      </c>
      <c r="P17" s="31">
        <v>0.32520325203252037</v>
      </c>
      <c r="Q17" s="31" t="s">
        <v>29</v>
      </c>
      <c r="R17" s="31">
        <v>0.67479674796747968</v>
      </c>
    </row>
    <row r="18" spans="1:20" x14ac:dyDescent="0.25">
      <c r="A18" s="31" t="s">
        <v>860</v>
      </c>
      <c r="B18" s="34">
        <v>0</v>
      </c>
      <c r="C18" s="36">
        <v>0</v>
      </c>
      <c r="D18" s="33">
        <f>53.4/(53.6+0.93)</f>
        <v>0.97927746194755172</v>
      </c>
      <c r="E18" s="34">
        <v>0</v>
      </c>
      <c r="F18" s="31">
        <v>999999</v>
      </c>
      <c r="G18" s="34">
        <v>0</v>
      </c>
      <c r="H18" s="31">
        <v>0</v>
      </c>
      <c r="I18" s="34">
        <v>80</v>
      </c>
      <c r="J18" s="38">
        <v>225</v>
      </c>
      <c r="K18" s="34" t="s">
        <v>859</v>
      </c>
      <c r="L18" s="31">
        <v>1</v>
      </c>
      <c r="O18" s="34" t="s">
        <v>861</v>
      </c>
      <c r="P18" s="31">
        <v>1</v>
      </c>
    </row>
    <row r="19" spans="1:20" x14ac:dyDescent="0.25">
      <c r="A19" s="31" t="s">
        <v>31</v>
      </c>
      <c r="B19" s="34">
        <v>0</v>
      </c>
      <c r="C19" s="36">
        <v>0</v>
      </c>
      <c r="D19" s="33">
        <v>0.54</v>
      </c>
      <c r="E19" s="37">
        <v>0</v>
      </c>
      <c r="F19" s="28">
        <v>999999</v>
      </c>
      <c r="G19" s="37">
        <v>0</v>
      </c>
      <c r="H19" s="28">
        <v>0</v>
      </c>
      <c r="I19" s="37">
        <v>80</v>
      </c>
      <c r="J19" s="38">
        <v>150</v>
      </c>
      <c r="K19" s="34" t="s">
        <v>19</v>
      </c>
      <c r="L19" s="31">
        <v>1</v>
      </c>
      <c r="O19" s="34" t="s">
        <v>29</v>
      </c>
      <c r="P19" s="31">
        <v>1</v>
      </c>
    </row>
    <row r="20" spans="1:20" x14ac:dyDescent="0.25">
      <c r="A20" s="31" t="s">
        <v>30</v>
      </c>
      <c r="B20" s="34">
        <v>0</v>
      </c>
      <c r="C20" s="36">
        <v>0</v>
      </c>
      <c r="D20" s="33">
        <v>0.54</v>
      </c>
      <c r="E20" s="37">
        <v>0</v>
      </c>
      <c r="F20" s="28">
        <v>999999</v>
      </c>
      <c r="G20" s="37">
        <v>0</v>
      </c>
      <c r="H20" s="28">
        <v>0</v>
      </c>
      <c r="I20" s="37">
        <v>80</v>
      </c>
      <c r="J20" s="38">
        <v>200</v>
      </c>
      <c r="K20" s="34" t="s">
        <v>19</v>
      </c>
      <c r="L20" s="31">
        <v>1</v>
      </c>
      <c r="O20" s="34" t="s">
        <v>8</v>
      </c>
      <c r="P20" s="31">
        <v>1</v>
      </c>
    </row>
    <row r="21" spans="1:20" x14ac:dyDescent="0.25">
      <c r="A21" s="31" t="s">
        <v>862</v>
      </c>
      <c r="B21" s="34">
        <v>0</v>
      </c>
      <c r="C21" s="36">
        <v>0</v>
      </c>
      <c r="D21" s="33">
        <v>0.52800000000000002</v>
      </c>
      <c r="E21" s="37">
        <v>0</v>
      </c>
      <c r="F21" s="28">
        <v>999999</v>
      </c>
      <c r="G21" s="37">
        <v>0</v>
      </c>
      <c r="H21" s="28">
        <v>0</v>
      </c>
      <c r="I21" s="37">
        <v>80</v>
      </c>
      <c r="J21" s="38">
        <v>175</v>
      </c>
      <c r="K21" s="34" t="s">
        <v>19</v>
      </c>
      <c r="L21" s="31">
        <v>1</v>
      </c>
      <c r="O21" s="34" t="s">
        <v>861</v>
      </c>
      <c r="P21" s="31">
        <v>1</v>
      </c>
    </row>
    <row r="22" spans="1:20" x14ac:dyDescent="0.25">
      <c r="A22" s="31" t="s">
        <v>899</v>
      </c>
      <c r="B22" s="34">
        <v>0</v>
      </c>
      <c r="C22" s="36">
        <v>0</v>
      </c>
      <c r="D22" s="33">
        <f>0.66*(1328/1574)</f>
        <v>0.55684879288437106</v>
      </c>
      <c r="E22" s="37">
        <v>0</v>
      </c>
      <c r="F22" s="44">
        <v>50</v>
      </c>
      <c r="G22" s="37">
        <v>0</v>
      </c>
      <c r="H22" s="44">
        <v>0</v>
      </c>
      <c r="I22" s="45"/>
      <c r="J22" s="46"/>
      <c r="K22" s="34" t="s">
        <v>19</v>
      </c>
      <c r="L22" s="31">
        <v>1</v>
      </c>
      <c r="O22" s="34" t="s">
        <v>8</v>
      </c>
      <c r="P22" s="31">
        <v>1</v>
      </c>
    </row>
    <row r="23" spans="1:20" x14ac:dyDescent="0.25">
      <c r="A23" s="31" t="s">
        <v>900</v>
      </c>
      <c r="B23" s="34">
        <v>0</v>
      </c>
      <c r="C23" s="36">
        <v>0</v>
      </c>
      <c r="D23" s="33">
        <f>0.66*(638/767)</f>
        <v>0.54899608865710559</v>
      </c>
      <c r="E23" s="37">
        <v>0</v>
      </c>
      <c r="F23" s="44">
        <v>50</v>
      </c>
      <c r="G23" s="37">
        <v>0</v>
      </c>
      <c r="H23" s="44">
        <v>0</v>
      </c>
      <c r="I23" s="45"/>
      <c r="J23" s="46"/>
      <c r="K23" s="34" t="s">
        <v>19</v>
      </c>
      <c r="L23" s="31">
        <v>1</v>
      </c>
      <c r="O23" s="34" t="s">
        <v>29</v>
      </c>
      <c r="P23" s="31">
        <v>1</v>
      </c>
    </row>
    <row r="24" spans="1:20" x14ac:dyDescent="0.25">
      <c r="A24" s="31" t="s">
        <v>11</v>
      </c>
      <c r="B24" s="34">
        <v>0</v>
      </c>
      <c r="C24" s="36">
        <v>0</v>
      </c>
      <c r="D24" s="33">
        <f>650/(746+59.3)</f>
        <v>0.80715261393269588</v>
      </c>
      <c r="E24" s="37">
        <v>0</v>
      </c>
      <c r="F24" s="28">
        <v>999999</v>
      </c>
      <c r="G24" s="37">
        <v>43.1</v>
      </c>
      <c r="H24" s="33">
        <f>44/650</f>
        <v>6.7692307692307691E-2</v>
      </c>
      <c r="I24" s="37">
        <v>80</v>
      </c>
      <c r="J24" s="38">
        <v>100</v>
      </c>
      <c r="K24" s="34" t="s">
        <v>7</v>
      </c>
      <c r="L24" s="33">
        <f>746/(746+59.3)</f>
        <v>0.92636284614429409</v>
      </c>
      <c r="M24" s="31" t="s">
        <v>830</v>
      </c>
      <c r="N24" s="33">
        <f>1-L24</f>
        <v>7.3637153855705906E-2</v>
      </c>
      <c r="O24" s="34" t="s">
        <v>8</v>
      </c>
      <c r="P24" s="31">
        <v>1</v>
      </c>
    </row>
    <row r="25" spans="1:20" x14ac:dyDescent="0.25">
      <c r="A25" s="31" t="s">
        <v>833</v>
      </c>
      <c r="B25" s="34">
        <v>0</v>
      </c>
      <c r="C25" s="36">
        <v>0</v>
      </c>
      <c r="D25" s="33">
        <f>(8.9+19.9)/(34.2+3.5)</f>
        <v>0.76392572944297066</v>
      </c>
      <c r="E25" s="37">
        <v>0</v>
      </c>
      <c r="F25" s="28">
        <v>999999</v>
      </c>
      <c r="G25" s="37">
        <v>43.1</v>
      </c>
      <c r="H25" s="33">
        <f>3.88/(8.9+19.9)</f>
        <v>0.13472222222222224</v>
      </c>
      <c r="I25" s="37">
        <v>80</v>
      </c>
      <c r="J25" s="38">
        <v>50</v>
      </c>
      <c r="K25" s="34" t="s">
        <v>7</v>
      </c>
      <c r="L25" s="33">
        <f>34.2/(34.2+3.5)</f>
        <v>0.90716180371352784</v>
      </c>
      <c r="M25" s="31" t="s">
        <v>830</v>
      </c>
      <c r="N25" s="33">
        <f t="shared" ref="N25:N29" si="0">1-L25</f>
        <v>9.2838196286472163E-2</v>
      </c>
      <c r="O25" s="34" t="s">
        <v>8</v>
      </c>
      <c r="P25" s="33">
        <f>8.9/(8.9+19.9)</f>
        <v>0.30902777777777785</v>
      </c>
      <c r="Q25" s="31" t="s">
        <v>29</v>
      </c>
      <c r="R25" s="33">
        <v>0.6909722222222221</v>
      </c>
    </row>
    <row r="26" spans="1:20" x14ac:dyDescent="0.25">
      <c r="A26" s="31" t="s">
        <v>834</v>
      </c>
      <c r="B26" s="34">
        <v>0</v>
      </c>
      <c r="C26" s="36">
        <v>0</v>
      </c>
      <c r="D26" s="33">
        <f>((14700+43500+1800)/3600*43)/(30600/3600*120)</f>
        <v>0.70261437908496738</v>
      </c>
      <c r="E26" s="37">
        <v>0</v>
      </c>
      <c r="F26" s="28">
        <v>999999</v>
      </c>
      <c r="G26" s="37">
        <v>43.1</v>
      </c>
      <c r="H26" s="33">
        <f>3.88/(8.9+19.9)</f>
        <v>0.13472222222222224</v>
      </c>
      <c r="I26" s="37">
        <v>80</v>
      </c>
      <c r="J26" s="38">
        <v>0</v>
      </c>
      <c r="K26" s="34" t="s">
        <v>7</v>
      </c>
      <c r="L26" s="33">
        <f>34.2/(34.2+3.5)</f>
        <v>0.90716180371352784</v>
      </c>
      <c r="M26" s="31" t="s">
        <v>830</v>
      </c>
      <c r="N26" s="33">
        <f t="shared" si="0"/>
        <v>9.2838196286472163E-2</v>
      </c>
      <c r="O26" s="34" t="s">
        <v>8</v>
      </c>
      <c r="P26" s="33">
        <f>14.7/(14.7+1.8+43.5)</f>
        <v>0.245</v>
      </c>
      <c r="Q26" s="31" t="s">
        <v>29</v>
      </c>
      <c r="R26" s="33">
        <f>1.8/(14.7+1.8+43.5)</f>
        <v>3.0000000000000002E-2</v>
      </c>
      <c r="S26" s="31" t="s">
        <v>831</v>
      </c>
      <c r="T26" s="33">
        <f>1-P26-R26</f>
        <v>0.72499999999999998</v>
      </c>
    </row>
    <row r="27" spans="1:20" x14ac:dyDescent="0.25">
      <c r="A27" s="31" t="s">
        <v>863</v>
      </c>
      <c r="B27" s="34">
        <v>0</v>
      </c>
      <c r="C27" s="36">
        <v>0</v>
      </c>
      <c r="D27" s="33">
        <f>12.54/(15.08+0.35)</f>
        <v>0.81270252754374595</v>
      </c>
      <c r="E27" s="37">
        <v>0</v>
      </c>
      <c r="F27" s="28">
        <v>999999</v>
      </c>
      <c r="G27" s="37">
        <v>43.1</v>
      </c>
      <c r="H27" s="33">
        <f>0.69/12.54</f>
        <v>5.5023923444976079E-2</v>
      </c>
      <c r="I27" s="37">
        <v>80</v>
      </c>
      <c r="J27" s="38">
        <v>125</v>
      </c>
      <c r="K27" s="34" t="s">
        <v>7</v>
      </c>
      <c r="L27" s="33">
        <f>15.08/(15.08+0.35)</f>
        <v>0.97731691510045371</v>
      </c>
      <c r="M27" s="31" t="s">
        <v>830</v>
      </c>
      <c r="N27" s="33">
        <f t="shared" si="0"/>
        <v>2.2683084899546291E-2</v>
      </c>
      <c r="O27" s="34" t="s">
        <v>861</v>
      </c>
      <c r="P27" s="31">
        <v>1</v>
      </c>
    </row>
    <row r="28" spans="1:20" x14ac:dyDescent="0.25">
      <c r="A28" s="31" t="s">
        <v>901</v>
      </c>
      <c r="B28" s="34">
        <v>0</v>
      </c>
      <c r="C28" s="36">
        <v>0</v>
      </c>
      <c r="D28" s="33">
        <f>19.92/(22.55+1.02)</f>
        <v>0.84514212982605008</v>
      </c>
      <c r="E28" s="37">
        <v>0</v>
      </c>
      <c r="F28" s="44">
        <v>50</v>
      </c>
      <c r="G28" s="37">
        <v>19.899999999999999</v>
      </c>
      <c r="H28" s="33">
        <f>1.37/19.9</f>
        <v>6.8844221105527653E-2</v>
      </c>
      <c r="I28" s="45"/>
      <c r="J28" s="46"/>
      <c r="K28" s="34" t="s">
        <v>7</v>
      </c>
      <c r="L28" s="33">
        <f>22.55/(22.55+1.02)</f>
        <v>0.95672464997878659</v>
      </c>
      <c r="M28" s="31" t="s">
        <v>830</v>
      </c>
      <c r="N28" s="33">
        <f>1-L28</f>
        <v>4.327535002121341E-2</v>
      </c>
      <c r="O28" s="34" t="s">
        <v>8</v>
      </c>
      <c r="P28" s="31">
        <v>1</v>
      </c>
    </row>
    <row r="29" spans="1:20" x14ac:dyDescent="0.25">
      <c r="A29" s="31" t="s">
        <v>902</v>
      </c>
      <c r="B29" s="34">
        <v>0</v>
      </c>
      <c r="C29" s="36">
        <v>0</v>
      </c>
      <c r="D29" s="33">
        <f>28.84/(31.67+2.13)</f>
        <v>0.85325443786982236</v>
      </c>
      <c r="E29" s="37">
        <v>0</v>
      </c>
      <c r="F29" s="44">
        <v>50</v>
      </c>
      <c r="G29" s="37">
        <v>28.835000000000001</v>
      </c>
      <c r="H29" s="33">
        <f>1.93/28.84</f>
        <v>6.6920943134535366E-2</v>
      </c>
      <c r="I29" s="45"/>
      <c r="J29" s="46"/>
      <c r="K29" s="34" t="s">
        <v>7</v>
      </c>
      <c r="L29" s="33">
        <f>31.67/(31.67+2.13)</f>
        <v>0.93698224852070999</v>
      </c>
      <c r="M29" s="31" t="s">
        <v>830</v>
      </c>
      <c r="N29" s="33">
        <f>1-L29</f>
        <v>6.3017751479290007E-2</v>
      </c>
      <c r="O29" s="34" t="s">
        <v>29</v>
      </c>
      <c r="P29" s="31">
        <v>1</v>
      </c>
    </row>
    <row r="30" spans="1:20" x14ac:dyDescent="0.25">
      <c r="A30" s="31" t="s">
        <v>50</v>
      </c>
      <c r="B30" s="34">
        <v>0</v>
      </c>
      <c r="C30" s="36">
        <v>0</v>
      </c>
      <c r="D30" s="49">
        <f>1.5/1.4</f>
        <v>1.0714285714285714</v>
      </c>
      <c r="E30" s="37">
        <v>0</v>
      </c>
      <c r="F30" s="28">
        <v>400</v>
      </c>
      <c r="G30" s="37">
        <v>0</v>
      </c>
      <c r="H30" s="28">
        <v>0</v>
      </c>
      <c r="I30" s="37">
        <v>240</v>
      </c>
      <c r="J30" s="38">
        <v>300</v>
      </c>
      <c r="K30" s="34" t="s">
        <v>8</v>
      </c>
      <c r="L30" s="31">
        <v>1</v>
      </c>
      <c r="O30" s="34" t="s">
        <v>27</v>
      </c>
      <c r="P30" s="31">
        <v>1</v>
      </c>
    </row>
    <row r="31" spans="1:20" x14ac:dyDescent="0.25">
      <c r="A31" s="31" t="s">
        <v>51</v>
      </c>
      <c r="B31" s="34">
        <v>0</v>
      </c>
      <c r="C31" s="36">
        <v>0</v>
      </c>
      <c r="D31" s="49">
        <f>1.5/1.5</f>
        <v>1</v>
      </c>
      <c r="E31" s="37">
        <v>0</v>
      </c>
      <c r="F31" s="28">
        <v>999999</v>
      </c>
      <c r="G31" s="37">
        <v>0</v>
      </c>
      <c r="H31" s="28">
        <v>0</v>
      </c>
      <c r="I31" s="37">
        <v>240</v>
      </c>
      <c r="J31" s="38">
        <v>250</v>
      </c>
      <c r="K31" s="34" t="s">
        <v>29</v>
      </c>
      <c r="L31" s="31">
        <v>1</v>
      </c>
      <c r="O31" s="34" t="s">
        <v>27</v>
      </c>
      <c r="P31" s="31">
        <v>1</v>
      </c>
    </row>
    <row r="32" spans="1:20" x14ac:dyDescent="0.25">
      <c r="A32" s="31" t="s">
        <v>44</v>
      </c>
      <c r="B32" s="34">
        <v>0</v>
      </c>
      <c r="C32" s="36">
        <v>0</v>
      </c>
      <c r="D32" s="49">
        <f>0.2/1.9</f>
        <v>0.10526315789473685</v>
      </c>
      <c r="E32" s="37">
        <v>0</v>
      </c>
      <c r="F32" s="28">
        <v>999999</v>
      </c>
      <c r="G32" s="37">
        <v>0</v>
      </c>
      <c r="H32" s="28">
        <v>0</v>
      </c>
      <c r="I32" s="37">
        <v>240</v>
      </c>
      <c r="J32" s="38">
        <v>200</v>
      </c>
      <c r="K32" s="34" t="s">
        <v>29</v>
      </c>
      <c r="L32" s="31">
        <v>1</v>
      </c>
      <c r="O32" s="34" t="s">
        <v>28</v>
      </c>
      <c r="P32" s="31">
        <v>1</v>
      </c>
    </row>
    <row r="33" spans="1:16" x14ac:dyDescent="0.25">
      <c r="A33" s="31" t="s">
        <v>45</v>
      </c>
      <c r="B33" s="34">
        <v>0</v>
      </c>
      <c r="C33" s="36">
        <v>0</v>
      </c>
      <c r="D33" s="49">
        <f>2.7/3.5</f>
        <v>0.77142857142857146</v>
      </c>
      <c r="E33" s="37">
        <v>0</v>
      </c>
      <c r="F33" s="28">
        <v>999999</v>
      </c>
      <c r="G33" s="37">
        <v>0</v>
      </c>
      <c r="H33" s="28">
        <v>0</v>
      </c>
      <c r="I33" s="37">
        <v>240</v>
      </c>
      <c r="J33" s="38">
        <v>150</v>
      </c>
      <c r="K33" s="34" t="s">
        <v>29</v>
      </c>
      <c r="L33" s="31">
        <v>1</v>
      </c>
      <c r="O33" s="34" t="s">
        <v>28</v>
      </c>
      <c r="P33" s="31">
        <v>1</v>
      </c>
    </row>
    <row r="34" spans="1:16" x14ac:dyDescent="0.25">
      <c r="A34" s="31" t="s">
        <v>58</v>
      </c>
      <c r="B34" s="34">
        <v>0</v>
      </c>
      <c r="C34" s="36">
        <v>0</v>
      </c>
      <c r="D34" s="49">
        <f>5.5/6.9</f>
        <v>0.79710144927536231</v>
      </c>
      <c r="E34" s="37">
        <v>0</v>
      </c>
      <c r="F34" s="28">
        <v>999999</v>
      </c>
      <c r="G34" s="37">
        <v>0</v>
      </c>
      <c r="H34" s="28">
        <v>0</v>
      </c>
      <c r="I34" s="37">
        <v>240</v>
      </c>
      <c r="J34" s="38">
        <v>100</v>
      </c>
      <c r="K34" s="34" t="s">
        <v>29</v>
      </c>
      <c r="L34" s="31">
        <v>1</v>
      </c>
      <c r="O34" s="34" t="s">
        <v>28</v>
      </c>
      <c r="P34" s="31">
        <v>1</v>
      </c>
    </row>
    <row r="35" spans="1:16" x14ac:dyDescent="0.25">
      <c r="A35" s="31" t="s">
        <v>59</v>
      </c>
      <c r="B35" s="34">
        <v>0</v>
      </c>
      <c r="C35" s="36">
        <v>0</v>
      </c>
      <c r="D35" s="49">
        <f>13.5/7.9</f>
        <v>1.7088607594936709</v>
      </c>
      <c r="E35" s="37">
        <v>0</v>
      </c>
      <c r="F35" s="28">
        <v>999999</v>
      </c>
      <c r="G35" s="37">
        <v>0</v>
      </c>
      <c r="H35" s="28">
        <v>0</v>
      </c>
      <c r="I35" s="37">
        <v>240</v>
      </c>
      <c r="J35" s="38">
        <v>50</v>
      </c>
      <c r="K35" s="34" t="s">
        <v>29</v>
      </c>
      <c r="L35" s="31">
        <v>1</v>
      </c>
      <c r="O35" s="34" t="s">
        <v>28</v>
      </c>
      <c r="P35" s="31">
        <v>1</v>
      </c>
    </row>
    <row r="36" spans="1:16" x14ac:dyDescent="0.25">
      <c r="A36" s="31" t="s">
        <v>864</v>
      </c>
      <c r="B36" s="34">
        <v>0</v>
      </c>
      <c r="C36" s="36">
        <v>0</v>
      </c>
      <c r="D36" s="49">
        <f>1.5/1.5</f>
        <v>1</v>
      </c>
      <c r="E36" s="37">
        <v>0</v>
      </c>
      <c r="F36" s="48">
        <v>74.69</v>
      </c>
      <c r="G36" s="37">
        <v>0</v>
      </c>
      <c r="H36" s="28">
        <v>0</v>
      </c>
      <c r="I36" s="37">
        <v>240</v>
      </c>
      <c r="J36" s="38">
        <v>75</v>
      </c>
      <c r="K36" s="34" t="s">
        <v>861</v>
      </c>
      <c r="L36" s="31">
        <v>1</v>
      </c>
      <c r="O36" s="34" t="s">
        <v>27</v>
      </c>
      <c r="P36" s="31">
        <v>1</v>
      </c>
    </row>
    <row r="37" spans="1:16" x14ac:dyDescent="0.25">
      <c r="A37" s="31" t="s">
        <v>865</v>
      </c>
      <c r="B37" s="34">
        <v>0</v>
      </c>
      <c r="C37" s="36">
        <v>0</v>
      </c>
      <c r="D37" s="49">
        <f>20/220</f>
        <v>9.0909090909090912E-2</v>
      </c>
      <c r="E37" s="37">
        <v>0</v>
      </c>
      <c r="F37" s="48">
        <v>0.8</v>
      </c>
      <c r="G37" s="37">
        <v>0</v>
      </c>
      <c r="H37" s="28">
        <v>0</v>
      </c>
      <c r="I37" s="37">
        <v>240</v>
      </c>
      <c r="J37" s="38">
        <v>125</v>
      </c>
      <c r="K37" s="34" t="s">
        <v>861</v>
      </c>
      <c r="L37" s="31">
        <v>1</v>
      </c>
      <c r="O37" s="34" t="s">
        <v>28</v>
      </c>
      <c r="P37" s="31">
        <v>1</v>
      </c>
    </row>
    <row r="38" spans="1:16" x14ac:dyDescent="0.25">
      <c r="A38" s="31" t="s">
        <v>866</v>
      </c>
      <c r="B38" s="34">
        <v>0</v>
      </c>
      <c r="C38" s="36">
        <v>0</v>
      </c>
      <c r="D38" s="49">
        <f>270/430</f>
        <v>0.62790697674418605</v>
      </c>
      <c r="E38" s="37">
        <v>0</v>
      </c>
      <c r="F38" s="48">
        <v>2.13</v>
      </c>
      <c r="G38" s="37">
        <v>0</v>
      </c>
      <c r="H38" s="28">
        <v>0</v>
      </c>
      <c r="I38" s="37">
        <v>240</v>
      </c>
      <c r="J38" s="38">
        <v>175</v>
      </c>
      <c r="K38" s="34" t="s">
        <v>861</v>
      </c>
      <c r="L38" s="31">
        <v>1</v>
      </c>
      <c r="O38" s="34" t="s">
        <v>28</v>
      </c>
      <c r="P38" s="31">
        <v>1</v>
      </c>
    </row>
    <row r="39" spans="1:16" x14ac:dyDescent="0.25">
      <c r="A39" s="31" t="s">
        <v>867</v>
      </c>
      <c r="B39" s="34">
        <v>0</v>
      </c>
      <c r="C39" s="36">
        <v>0</v>
      </c>
      <c r="D39" s="49">
        <f>550/870</f>
        <v>0.63218390804597702</v>
      </c>
      <c r="E39" s="37">
        <v>0</v>
      </c>
      <c r="F39" s="48">
        <v>14.19</v>
      </c>
      <c r="G39" s="37">
        <v>0</v>
      </c>
      <c r="H39" s="28">
        <v>0</v>
      </c>
      <c r="I39" s="37">
        <v>240</v>
      </c>
      <c r="J39" s="38">
        <v>225</v>
      </c>
      <c r="K39" s="34" t="s">
        <v>861</v>
      </c>
      <c r="L39" s="31">
        <v>1</v>
      </c>
      <c r="O39" s="34" t="s">
        <v>28</v>
      </c>
      <c r="P39" s="31">
        <v>1</v>
      </c>
    </row>
    <row r="40" spans="1:16" x14ac:dyDescent="0.25">
      <c r="A40" s="31" t="s">
        <v>868</v>
      </c>
      <c r="B40" s="34">
        <v>0</v>
      </c>
      <c r="C40" s="36">
        <v>0</v>
      </c>
      <c r="D40" s="49">
        <f>1350/1000</f>
        <v>1.35</v>
      </c>
      <c r="E40" s="37">
        <v>0</v>
      </c>
      <c r="F40" s="48">
        <v>51.3</v>
      </c>
      <c r="G40" s="37">
        <v>0</v>
      </c>
      <c r="H40" s="28">
        <v>0</v>
      </c>
      <c r="I40" s="37">
        <v>240</v>
      </c>
      <c r="J40" s="38">
        <v>275</v>
      </c>
      <c r="K40" s="34" t="s">
        <v>861</v>
      </c>
      <c r="L40" s="31">
        <v>1</v>
      </c>
      <c r="O40" s="34" t="s">
        <v>28</v>
      </c>
      <c r="P40" s="31">
        <v>1</v>
      </c>
    </row>
    <row r="41" spans="1:16" x14ac:dyDescent="0.25">
      <c r="B41" s="35"/>
      <c r="C41" s="35"/>
      <c r="E41" s="38"/>
      <c r="F41" s="28"/>
      <c r="G41" s="38"/>
      <c r="H41" s="28"/>
      <c r="I41" s="38"/>
      <c r="J41" s="38"/>
      <c r="K41" s="35"/>
      <c r="O41" s="35"/>
    </row>
    <row r="42" spans="1:16" x14ac:dyDescent="0.25">
      <c r="A42" s="43" t="s">
        <v>892</v>
      </c>
      <c r="B42" s="35"/>
      <c r="C42" s="35"/>
      <c r="E42" s="38"/>
      <c r="F42" s="28"/>
      <c r="G42" s="38"/>
      <c r="H42" s="28"/>
      <c r="I42" s="38"/>
      <c r="J42" s="38"/>
      <c r="K42" s="35"/>
      <c r="O42" s="35"/>
    </row>
    <row r="43" spans="1:16" x14ac:dyDescent="0.25">
      <c r="A43" s="50" t="s">
        <v>898</v>
      </c>
      <c r="B43" s="50"/>
      <c r="C43" s="35"/>
      <c r="E43" s="38"/>
      <c r="F43" s="28"/>
      <c r="G43" s="38"/>
      <c r="H43" s="28"/>
      <c r="I43" s="38"/>
      <c r="J43" s="38"/>
      <c r="K43" s="35"/>
      <c r="O43" s="35"/>
    </row>
    <row r="44" spans="1:16" x14ac:dyDescent="0.25">
      <c r="A44" s="42"/>
      <c r="B44" s="35"/>
      <c r="C44" s="35"/>
      <c r="E44" s="38"/>
      <c r="F44" s="28"/>
      <c r="G44" s="38"/>
      <c r="H44" s="28"/>
      <c r="I44" s="38"/>
      <c r="J44" s="38"/>
      <c r="K44" s="35"/>
      <c r="O44" s="35"/>
    </row>
    <row r="45" spans="1:16" x14ac:dyDescent="0.25">
      <c r="A45" s="43" t="s">
        <v>893</v>
      </c>
      <c r="B45" s="35"/>
      <c r="C45" s="35"/>
      <c r="E45" s="38"/>
      <c r="F45" s="28"/>
      <c r="G45" s="38"/>
      <c r="H45" s="28"/>
      <c r="I45" s="38"/>
      <c r="J45" s="38"/>
      <c r="K45" s="35"/>
      <c r="O45" s="35"/>
    </row>
    <row r="46" spans="1:16" x14ac:dyDescent="0.25">
      <c r="A46" s="42" t="s">
        <v>888</v>
      </c>
      <c r="B46" s="35"/>
      <c r="C46" s="35"/>
      <c r="E46" s="38"/>
      <c r="F46" s="28"/>
      <c r="G46" s="38"/>
      <c r="H46" s="28"/>
      <c r="I46" s="38"/>
      <c r="J46" s="38"/>
      <c r="K46" s="35"/>
      <c r="O46" s="35"/>
    </row>
    <row r="47" spans="1:16" x14ac:dyDescent="0.25">
      <c r="A47" s="42"/>
      <c r="B47" s="35"/>
      <c r="C47" s="35"/>
      <c r="E47" s="38"/>
      <c r="F47" s="28"/>
      <c r="G47" s="38"/>
      <c r="H47" s="28"/>
      <c r="I47" s="38"/>
      <c r="J47" s="38"/>
      <c r="K47" s="35"/>
      <c r="O47" s="35"/>
    </row>
    <row r="48" spans="1:16" x14ac:dyDescent="0.25">
      <c r="A48" s="43" t="s">
        <v>894</v>
      </c>
      <c r="B48" s="35"/>
      <c r="C48" s="35"/>
      <c r="E48" s="38"/>
      <c r="F48" s="28"/>
      <c r="G48" s="38"/>
      <c r="H48" s="28"/>
      <c r="I48" s="38"/>
      <c r="J48" s="38"/>
      <c r="K48" s="35"/>
      <c r="O48" s="35"/>
    </row>
    <row r="49" spans="1:15" x14ac:dyDescent="0.25">
      <c r="A49" s="42" t="s">
        <v>888</v>
      </c>
      <c r="B49" s="35"/>
      <c r="C49" s="35"/>
      <c r="E49" s="38"/>
      <c r="F49" s="28"/>
      <c r="G49" s="38"/>
      <c r="H49" s="28"/>
      <c r="I49" s="38"/>
      <c r="J49" s="38"/>
      <c r="K49" s="35"/>
      <c r="O49" s="35"/>
    </row>
    <row r="51" spans="1:15" x14ac:dyDescent="0.25">
      <c r="A51" s="43" t="s">
        <v>891</v>
      </c>
    </row>
    <row r="52" spans="1:15" x14ac:dyDescent="0.25">
      <c r="A52" s="31" t="s">
        <v>20</v>
      </c>
      <c r="B52" s="31" t="s">
        <v>823</v>
      </c>
      <c r="C52" s="31" t="s">
        <v>824</v>
      </c>
      <c r="D52" s="31" t="s">
        <v>826</v>
      </c>
      <c r="E52" s="31" t="s">
        <v>825</v>
      </c>
    </row>
    <row r="53" spans="1:15" x14ac:dyDescent="0.25">
      <c r="A53" s="47">
        <v>32</v>
      </c>
      <c r="B53" s="31">
        <v>0.08</v>
      </c>
      <c r="C53" s="31">
        <v>20</v>
      </c>
      <c r="D53" s="31">
        <v>30</v>
      </c>
      <c r="E53" s="31">
        <v>400</v>
      </c>
    </row>
    <row r="55" spans="1:15" x14ac:dyDescent="0.25">
      <c r="A55" s="41" t="s">
        <v>895</v>
      </c>
    </row>
    <row r="56" spans="1:15" x14ac:dyDescent="0.25">
      <c r="A56" s="31" t="s">
        <v>888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baseColWidth="10"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25">
      <c r="A2" s="6" t="s">
        <v>27</v>
      </c>
      <c r="B2" s="6">
        <v>0</v>
      </c>
      <c r="C2" s="6">
        <v>0</v>
      </c>
      <c r="D2" s="6" t="s">
        <v>27</v>
      </c>
      <c r="E2" s="6">
        <v>858</v>
      </c>
      <c r="F2" s="10">
        <v>320</v>
      </c>
      <c r="G2">
        <v>250</v>
      </c>
    </row>
    <row r="3" spans="1:7" x14ac:dyDescent="0.25">
      <c r="A3" s="6" t="s">
        <v>54</v>
      </c>
      <c r="B3" s="6">
        <v>0</v>
      </c>
      <c r="C3" s="6">
        <v>0</v>
      </c>
      <c r="D3" s="6" t="s">
        <v>28</v>
      </c>
      <c r="E3" s="6">
        <v>7.5</v>
      </c>
      <c r="F3" s="10">
        <v>320</v>
      </c>
      <c r="G3">
        <v>200</v>
      </c>
    </row>
    <row r="4" spans="1:7" x14ac:dyDescent="0.25">
      <c r="A4" s="6" t="s">
        <v>55</v>
      </c>
      <c r="B4" s="6">
        <v>0</v>
      </c>
      <c r="C4" s="6">
        <v>0</v>
      </c>
      <c r="D4" s="6" t="s">
        <v>28</v>
      </c>
      <c r="E4" s="6">
        <v>24.2</v>
      </c>
      <c r="F4" s="10">
        <v>320</v>
      </c>
      <c r="G4">
        <v>150</v>
      </c>
    </row>
    <row r="5" spans="1:7" x14ac:dyDescent="0.25">
      <c r="A5" s="6" t="s">
        <v>56</v>
      </c>
      <c r="B5" s="6">
        <v>0</v>
      </c>
      <c r="C5" s="6">
        <v>0</v>
      </c>
      <c r="D5" s="6" t="s">
        <v>28</v>
      </c>
      <c r="E5" s="6">
        <v>130.30000000000001</v>
      </c>
      <c r="F5" s="10">
        <v>320</v>
      </c>
      <c r="G5">
        <v>100</v>
      </c>
    </row>
    <row r="6" spans="1:7" x14ac:dyDescent="0.25">
      <c r="A6" s="6" t="s">
        <v>57</v>
      </c>
      <c r="B6" s="6">
        <v>0</v>
      </c>
      <c r="C6" s="6">
        <v>0</v>
      </c>
      <c r="D6" s="6" t="s">
        <v>28</v>
      </c>
      <c r="E6" s="6">
        <v>414.5</v>
      </c>
      <c r="F6" s="10">
        <v>320</v>
      </c>
      <c r="G6">
        <v>50</v>
      </c>
    </row>
    <row r="7" spans="1:7" x14ac:dyDescent="0.25">
      <c r="A7" s="6" t="s">
        <v>831</v>
      </c>
      <c r="B7" s="6">
        <v>0</v>
      </c>
      <c r="C7" s="6">
        <v>0</v>
      </c>
      <c r="D7" s="6" t="s">
        <v>831</v>
      </c>
      <c r="E7" s="6">
        <v>120</v>
      </c>
      <c r="F7" s="10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2"/>
  <sheetViews>
    <sheetView workbookViewId="0">
      <selection activeCell="H10" sqref="H10"/>
    </sheetView>
  </sheetViews>
  <sheetFormatPr baseColWidth="10" defaultColWidth="9.140625" defaultRowHeight="15" x14ac:dyDescent="0.25"/>
  <cols>
    <col min="1" max="1" width="11.285156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11.85546875" customWidth="1"/>
    <col min="7" max="7" width="21.42578125" style="10" customWidth="1"/>
    <col min="8" max="8" width="11.85546875" customWidth="1"/>
    <col min="9" max="9" width="5" style="10" customWidth="1"/>
    <col min="10" max="10" width="4.7109375" style="10" customWidth="1"/>
    <col min="11" max="11" width="9.42578125" bestFit="1" customWidth="1"/>
    <col min="12" max="16" width="9.42578125" customWidth="1"/>
    <col min="17" max="17" width="8.42578125" bestFit="1" customWidth="1"/>
    <col min="18" max="18" width="7.7109375" bestFit="1" customWidth="1"/>
    <col min="19" max="19" width="9.28515625" bestFit="1" customWidth="1"/>
    <col min="20" max="20" width="7.7109375" bestFit="1" customWidth="1"/>
    <col min="21" max="21" width="9.28515625" bestFit="1" customWidth="1"/>
    <col min="22" max="22" width="7.7109375" bestFit="1" customWidth="1"/>
    <col min="23" max="23" width="6.140625" bestFit="1" customWidth="1"/>
    <col min="24" max="24" width="7.7109375" bestFit="1" customWidth="1"/>
    <col min="25" max="25" width="6.140625" bestFit="1" customWidth="1"/>
    <col min="26" max="26" width="7.7109375" bestFit="1" customWidth="1"/>
    <col min="27" max="27" width="6.140625" bestFit="1" customWidth="1"/>
    <col min="28" max="28" width="7.7109375" bestFit="1" customWidth="1"/>
  </cols>
  <sheetData>
    <row r="1" spans="1:23" x14ac:dyDescent="0.25">
      <c r="A1" t="s">
        <v>0</v>
      </c>
      <c r="B1" s="34" t="s">
        <v>12</v>
      </c>
      <c r="C1" s="36" t="s">
        <v>13</v>
      </c>
      <c r="D1" t="s">
        <v>1</v>
      </c>
      <c r="E1" s="34" t="s">
        <v>64</v>
      </c>
      <c r="F1" t="s">
        <v>65</v>
      </c>
      <c r="G1" s="34" t="s">
        <v>857</v>
      </c>
      <c r="H1" t="s">
        <v>827</v>
      </c>
      <c r="I1" s="34" t="s">
        <v>854</v>
      </c>
      <c r="J1" s="35" t="s">
        <v>855</v>
      </c>
      <c r="K1" s="34" t="s">
        <v>21</v>
      </c>
      <c r="L1" t="s">
        <v>24</v>
      </c>
      <c r="M1" t="s">
        <v>25</v>
      </c>
      <c r="N1" t="s">
        <v>26</v>
      </c>
      <c r="O1" s="34" t="s">
        <v>16</v>
      </c>
      <c r="P1" t="s">
        <v>17</v>
      </c>
      <c r="Q1" t="s">
        <v>2</v>
      </c>
      <c r="R1" t="s">
        <v>3</v>
      </c>
      <c r="S1" t="s">
        <v>42</v>
      </c>
      <c r="T1" t="s">
        <v>43</v>
      </c>
    </row>
    <row r="2" spans="1:23" x14ac:dyDescent="0.25">
      <c r="A2" s="7" t="s">
        <v>9</v>
      </c>
      <c r="B2" s="34">
        <v>0</v>
      </c>
      <c r="C2" s="36">
        <v>0</v>
      </c>
      <c r="D2" s="39">
        <v>0.93</v>
      </c>
      <c r="E2" s="37">
        <v>0</v>
      </c>
      <c r="F2" s="8">
        <v>999999</v>
      </c>
      <c r="G2" s="37">
        <v>0</v>
      </c>
      <c r="H2" s="8">
        <v>0</v>
      </c>
      <c r="I2" s="37">
        <v>80</v>
      </c>
      <c r="J2" s="38">
        <v>300</v>
      </c>
      <c r="K2" s="34" t="s">
        <v>10</v>
      </c>
      <c r="L2" s="7">
        <v>1</v>
      </c>
      <c r="M2" s="7"/>
      <c r="N2" s="7"/>
      <c r="O2" s="34" t="s">
        <v>8</v>
      </c>
      <c r="P2" s="40">
        <v>0.27956989247311831</v>
      </c>
      <c r="Q2" s="7" t="s">
        <v>29</v>
      </c>
      <c r="R2" s="40">
        <v>0.58064516129032262</v>
      </c>
      <c r="S2" s="7" t="s">
        <v>831</v>
      </c>
      <c r="T2" s="40">
        <v>0.13978494623655915</v>
      </c>
    </row>
    <row r="3" spans="1:23" x14ac:dyDescent="0.25">
      <c r="A3" s="7" t="s">
        <v>832</v>
      </c>
      <c r="B3" s="34">
        <v>0</v>
      </c>
      <c r="C3" s="36">
        <v>0</v>
      </c>
      <c r="D3" s="39">
        <v>0.93</v>
      </c>
      <c r="E3" s="34">
        <v>0</v>
      </c>
      <c r="F3" s="7">
        <v>999999</v>
      </c>
      <c r="G3" s="34">
        <v>0</v>
      </c>
      <c r="H3" s="8">
        <v>0</v>
      </c>
      <c r="I3" s="37">
        <v>80</v>
      </c>
      <c r="J3" s="38">
        <v>250</v>
      </c>
      <c r="K3" s="34" t="s">
        <v>10</v>
      </c>
      <c r="L3" s="7">
        <v>1</v>
      </c>
      <c r="M3" s="7"/>
      <c r="N3" s="7"/>
      <c r="O3" s="34" t="s">
        <v>8</v>
      </c>
      <c r="P3" s="40">
        <v>0.32520325203252037</v>
      </c>
      <c r="Q3" s="7" t="s">
        <v>29</v>
      </c>
      <c r="R3" s="40">
        <v>0.67479674796747968</v>
      </c>
      <c r="S3" s="7"/>
      <c r="T3" s="7"/>
    </row>
    <row r="4" spans="1:23" s="11" customFormat="1" x14ac:dyDescent="0.25">
      <c r="A4" s="13" t="s">
        <v>860</v>
      </c>
      <c r="B4" s="34">
        <v>0</v>
      </c>
      <c r="C4" s="36">
        <v>0</v>
      </c>
      <c r="D4" s="39">
        <v>0.97802197802197799</v>
      </c>
      <c r="E4" s="34">
        <v>0</v>
      </c>
      <c r="F4" s="13">
        <v>999999</v>
      </c>
      <c r="G4" s="34">
        <v>0</v>
      </c>
      <c r="H4" s="13">
        <v>0</v>
      </c>
      <c r="I4" s="34">
        <v>80</v>
      </c>
      <c r="J4" s="38">
        <v>225</v>
      </c>
      <c r="K4" s="34" t="s">
        <v>859</v>
      </c>
      <c r="L4" s="13">
        <v>1</v>
      </c>
      <c r="M4" s="13"/>
      <c r="N4" s="13"/>
      <c r="O4" s="34" t="s">
        <v>861</v>
      </c>
      <c r="P4" s="13">
        <v>1</v>
      </c>
      <c r="Q4" s="13"/>
      <c r="R4" s="13"/>
      <c r="S4" s="13"/>
      <c r="T4" s="13"/>
      <c r="U4" s="12"/>
    </row>
    <row r="5" spans="1:23" x14ac:dyDescent="0.25">
      <c r="A5" s="7" t="s">
        <v>31</v>
      </c>
      <c r="B5" s="34">
        <v>0</v>
      </c>
      <c r="C5" s="36">
        <v>0</v>
      </c>
      <c r="D5" s="39">
        <v>0.54</v>
      </c>
      <c r="E5" s="37">
        <v>0</v>
      </c>
      <c r="F5" s="8">
        <v>999999</v>
      </c>
      <c r="G5" s="37">
        <v>0</v>
      </c>
      <c r="H5" s="8">
        <v>0</v>
      </c>
      <c r="I5" s="37">
        <v>80</v>
      </c>
      <c r="J5" s="38">
        <v>150</v>
      </c>
      <c r="K5" s="34" t="s">
        <v>19</v>
      </c>
      <c r="L5" s="7">
        <v>1</v>
      </c>
      <c r="M5" s="7"/>
      <c r="N5" s="7"/>
      <c r="O5" s="34" t="s">
        <v>29</v>
      </c>
      <c r="P5" s="7">
        <v>1</v>
      </c>
      <c r="Q5" s="7"/>
      <c r="R5" s="7"/>
      <c r="S5" s="7"/>
      <c r="T5" s="7"/>
    </row>
    <row r="6" spans="1:23" x14ac:dyDescent="0.25">
      <c r="A6" s="7" t="s">
        <v>30</v>
      </c>
      <c r="B6" s="34">
        <v>0</v>
      </c>
      <c r="C6" s="36">
        <v>0</v>
      </c>
      <c r="D6" s="39">
        <v>0.54</v>
      </c>
      <c r="E6" s="37">
        <v>0</v>
      </c>
      <c r="F6" s="8">
        <v>999999</v>
      </c>
      <c r="G6" s="37">
        <v>0</v>
      </c>
      <c r="H6" s="8">
        <v>0</v>
      </c>
      <c r="I6" s="37">
        <v>80</v>
      </c>
      <c r="J6" s="38">
        <v>200</v>
      </c>
      <c r="K6" s="34" t="s">
        <v>19</v>
      </c>
      <c r="L6" s="7">
        <v>1</v>
      </c>
      <c r="M6" s="7"/>
      <c r="N6" s="7"/>
      <c r="O6" s="34" t="s">
        <v>8</v>
      </c>
      <c r="P6" s="7">
        <v>1</v>
      </c>
      <c r="Q6" s="7"/>
      <c r="R6" s="7"/>
      <c r="S6" s="7"/>
      <c r="T6" s="7"/>
    </row>
    <row r="7" spans="1:23" s="13" customFormat="1" x14ac:dyDescent="0.25">
      <c r="A7" s="14" t="s">
        <v>862</v>
      </c>
      <c r="B7" s="34">
        <v>0</v>
      </c>
      <c r="C7" s="36">
        <v>0</v>
      </c>
      <c r="D7" s="39">
        <v>0.52800000000000002</v>
      </c>
      <c r="E7" s="37">
        <v>0</v>
      </c>
      <c r="F7" s="15">
        <v>999999</v>
      </c>
      <c r="G7" s="37">
        <v>0</v>
      </c>
      <c r="H7" s="15">
        <v>0</v>
      </c>
      <c r="I7" s="37">
        <v>80</v>
      </c>
      <c r="J7" s="38">
        <v>175</v>
      </c>
      <c r="K7" s="34" t="s">
        <v>19</v>
      </c>
      <c r="L7" s="14">
        <v>1</v>
      </c>
      <c r="M7" s="14"/>
      <c r="N7" s="14"/>
      <c r="O7" s="34" t="s">
        <v>861</v>
      </c>
      <c r="P7" s="14">
        <v>1</v>
      </c>
      <c r="Q7" s="14"/>
      <c r="R7" s="14"/>
      <c r="S7" s="14"/>
      <c r="T7" s="14"/>
    </row>
    <row r="8" spans="1:23" x14ac:dyDescent="0.25">
      <c r="A8" s="7" t="s">
        <v>11</v>
      </c>
      <c r="B8" s="34">
        <v>0</v>
      </c>
      <c r="C8" s="36">
        <v>0</v>
      </c>
      <c r="D8" s="32">
        <f>650/(746+59.3)</f>
        <v>0.80715261393269588</v>
      </c>
      <c r="E8" s="37">
        <v>0</v>
      </c>
      <c r="F8" s="8">
        <v>999999</v>
      </c>
      <c r="G8" s="37">
        <v>43.1</v>
      </c>
      <c r="H8" s="33">
        <f>44/650</f>
        <v>6.7692307692307691E-2</v>
      </c>
      <c r="I8" s="37">
        <v>80</v>
      </c>
      <c r="J8" s="38">
        <v>100</v>
      </c>
      <c r="K8" s="34" t="s">
        <v>7</v>
      </c>
      <c r="L8" s="9">
        <f>746/(746+59.3)</f>
        <v>0.92636284614429409</v>
      </c>
      <c r="M8" s="7" t="s">
        <v>830</v>
      </c>
      <c r="N8" s="9">
        <f>1-L8</f>
        <v>7.3637153855705906E-2</v>
      </c>
      <c r="O8" s="34" t="s">
        <v>8</v>
      </c>
      <c r="P8" s="7">
        <v>1</v>
      </c>
      <c r="Q8" s="7"/>
      <c r="R8" s="7"/>
      <c r="S8" s="7"/>
      <c r="T8" s="7"/>
    </row>
    <row r="9" spans="1:23" x14ac:dyDescent="0.25">
      <c r="A9" s="7" t="s">
        <v>833</v>
      </c>
      <c r="B9" s="34">
        <v>0</v>
      </c>
      <c r="C9" s="36">
        <v>0</v>
      </c>
      <c r="D9" s="32">
        <f>(8.9+19.9)/(34.2+3.5)</f>
        <v>0.76392572944297066</v>
      </c>
      <c r="E9" s="37">
        <v>0</v>
      </c>
      <c r="F9" s="8">
        <v>999999</v>
      </c>
      <c r="G9" s="37">
        <v>43.1</v>
      </c>
      <c r="H9" s="33">
        <f>3.88/(8.9+19.9)</f>
        <v>0.13472222222222224</v>
      </c>
      <c r="I9" s="37">
        <v>80</v>
      </c>
      <c r="J9" s="38">
        <v>50</v>
      </c>
      <c r="K9" s="34" t="s">
        <v>7</v>
      </c>
      <c r="L9" s="9">
        <f>34.2/(34.2+3.5)</f>
        <v>0.90716180371352784</v>
      </c>
      <c r="M9" s="7" t="s">
        <v>830</v>
      </c>
      <c r="N9" s="33">
        <f t="shared" ref="N9:N11" si="0">1-L9</f>
        <v>9.2838196286472163E-2</v>
      </c>
      <c r="O9" s="34" t="s">
        <v>8</v>
      </c>
      <c r="P9" s="9">
        <f>8.9/(8.9+19.9)</f>
        <v>0.30902777777777785</v>
      </c>
      <c r="Q9" s="7" t="s">
        <v>29</v>
      </c>
      <c r="R9" s="9">
        <v>0.6909722222222221</v>
      </c>
      <c r="S9" s="7"/>
      <c r="T9" s="7"/>
    </row>
    <row r="10" spans="1:23" x14ac:dyDescent="0.25">
      <c r="A10" s="7" t="s">
        <v>834</v>
      </c>
      <c r="B10" s="34">
        <v>0</v>
      </c>
      <c r="C10" s="36">
        <v>0</v>
      </c>
      <c r="D10" s="32">
        <f>((14700+43500+1800)/3600*43)/(30600/3600*120)</f>
        <v>0.70261437908496738</v>
      </c>
      <c r="E10" s="37">
        <v>0</v>
      </c>
      <c r="F10" s="8">
        <v>999999</v>
      </c>
      <c r="G10" s="37">
        <v>43.1</v>
      </c>
      <c r="H10" s="33">
        <f>3.88/(8.9+19.9)</f>
        <v>0.13472222222222224</v>
      </c>
      <c r="I10" s="37">
        <v>80</v>
      </c>
      <c r="J10" s="38">
        <v>0</v>
      </c>
      <c r="K10" s="34" t="s">
        <v>7</v>
      </c>
      <c r="L10" s="33">
        <f>34.2/(34.2+3.5)</f>
        <v>0.90716180371352784</v>
      </c>
      <c r="M10" s="7" t="s">
        <v>830</v>
      </c>
      <c r="N10" s="33">
        <f t="shared" si="0"/>
        <v>9.2838196286472163E-2</v>
      </c>
      <c r="O10" s="34" t="s">
        <v>8</v>
      </c>
      <c r="P10" s="9">
        <f>14.7/(14.7+1.8+43.5)</f>
        <v>0.245</v>
      </c>
      <c r="Q10" s="7" t="s">
        <v>29</v>
      </c>
      <c r="R10" s="33">
        <f>1.8/(14.7+1.8+43.5)</f>
        <v>3.0000000000000002E-2</v>
      </c>
      <c r="S10" s="7" t="s">
        <v>831</v>
      </c>
      <c r="T10" s="9">
        <f>1-P10-R10</f>
        <v>0.72499999999999998</v>
      </c>
    </row>
    <row r="11" spans="1:23" s="14" customFormat="1" x14ac:dyDescent="0.25">
      <c r="A11" s="17" t="s">
        <v>863</v>
      </c>
      <c r="B11" s="34">
        <v>0</v>
      </c>
      <c r="C11" s="36">
        <v>0</v>
      </c>
      <c r="D11" s="32">
        <f>12.54/(15.08+0.35)</f>
        <v>0.81270252754374595</v>
      </c>
      <c r="E11" s="37">
        <v>0</v>
      </c>
      <c r="F11" s="18">
        <v>999999</v>
      </c>
      <c r="G11" s="37">
        <v>43.1</v>
      </c>
      <c r="H11" s="33">
        <f>0.69/12.54</f>
        <v>5.5023923444976079E-2</v>
      </c>
      <c r="I11" s="37">
        <v>80</v>
      </c>
      <c r="J11" s="38">
        <v>125</v>
      </c>
      <c r="K11" s="34" t="s">
        <v>7</v>
      </c>
      <c r="L11" s="33">
        <f>15.08/(15.08+0.35)</f>
        <v>0.97731691510045371</v>
      </c>
      <c r="M11" s="17" t="s">
        <v>830</v>
      </c>
      <c r="N11" s="33">
        <f t="shared" si="0"/>
        <v>2.2683084899546291E-2</v>
      </c>
      <c r="O11" s="34" t="s">
        <v>861</v>
      </c>
      <c r="P11" s="17">
        <v>1</v>
      </c>
      <c r="Q11" s="17"/>
      <c r="R11" s="17"/>
      <c r="S11" s="17"/>
      <c r="T11" s="17"/>
      <c r="U11" s="16"/>
      <c r="W11" s="16"/>
    </row>
    <row r="12" spans="1:23" x14ac:dyDescent="0.25">
      <c r="A12" s="7" t="s">
        <v>50</v>
      </c>
      <c r="B12" s="34">
        <v>0</v>
      </c>
      <c r="C12" s="36">
        <v>0</v>
      </c>
      <c r="D12" s="32">
        <f>1.5/1.9</f>
        <v>0.78947368421052633</v>
      </c>
      <c r="E12" s="37">
        <v>0</v>
      </c>
      <c r="F12" s="8">
        <v>400</v>
      </c>
      <c r="G12" s="37">
        <v>0</v>
      </c>
      <c r="H12" s="8">
        <v>0</v>
      </c>
      <c r="I12" s="37">
        <v>240</v>
      </c>
      <c r="J12" s="38">
        <v>300</v>
      </c>
      <c r="K12" s="34" t="s">
        <v>8</v>
      </c>
      <c r="L12" s="7">
        <v>1</v>
      </c>
      <c r="M12" s="7"/>
      <c r="N12" s="7"/>
      <c r="O12" s="34" t="s">
        <v>27</v>
      </c>
      <c r="P12" s="7">
        <v>1</v>
      </c>
      <c r="Q12" s="7"/>
      <c r="R12" s="7"/>
      <c r="S12" s="7"/>
      <c r="T12" s="7"/>
    </row>
    <row r="13" spans="1:23" x14ac:dyDescent="0.25">
      <c r="A13" s="7" t="s">
        <v>51</v>
      </c>
      <c r="B13" s="34">
        <v>0</v>
      </c>
      <c r="C13" s="36">
        <v>0</v>
      </c>
      <c r="D13" s="32">
        <f>1.5/1.8</f>
        <v>0.83333333333333326</v>
      </c>
      <c r="E13" s="37">
        <v>0</v>
      </c>
      <c r="F13" s="8">
        <v>999999</v>
      </c>
      <c r="G13" s="37">
        <v>0</v>
      </c>
      <c r="H13" s="8">
        <v>0</v>
      </c>
      <c r="I13" s="37">
        <v>240</v>
      </c>
      <c r="J13" s="38">
        <v>250</v>
      </c>
      <c r="K13" s="34" t="s">
        <v>29</v>
      </c>
      <c r="L13" s="7">
        <v>1</v>
      </c>
      <c r="M13" s="7"/>
      <c r="N13" s="7"/>
      <c r="O13" s="34" t="s">
        <v>27</v>
      </c>
      <c r="P13" s="7">
        <v>1</v>
      </c>
      <c r="Q13" s="7"/>
      <c r="R13" s="7"/>
      <c r="S13" s="7"/>
      <c r="T13" s="7"/>
    </row>
    <row r="14" spans="1:23" x14ac:dyDescent="0.25">
      <c r="A14" s="7" t="s">
        <v>44</v>
      </c>
      <c r="B14" s="34">
        <v>0</v>
      </c>
      <c r="C14" s="36">
        <v>0</v>
      </c>
      <c r="D14" s="32">
        <f>0.2/2.2</f>
        <v>9.0909090909090912E-2</v>
      </c>
      <c r="E14" s="37">
        <v>0</v>
      </c>
      <c r="F14" s="8">
        <v>999999</v>
      </c>
      <c r="G14" s="37">
        <v>0</v>
      </c>
      <c r="H14" s="8">
        <v>0</v>
      </c>
      <c r="I14" s="37">
        <v>240</v>
      </c>
      <c r="J14" s="38">
        <v>200</v>
      </c>
      <c r="K14" s="34" t="s">
        <v>29</v>
      </c>
      <c r="L14" s="7">
        <v>1</v>
      </c>
      <c r="M14" s="7"/>
      <c r="N14" s="7"/>
      <c r="O14" s="34" t="s">
        <v>28</v>
      </c>
      <c r="P14" s="7">
        <v>1</v>
      </c>
      <c r="Q14" s="7"/>
      <c r="R14" s="7"/>
      <c r="S14" s="7"/>
      <c r="T14" s="7"/>
    </row>
    <row r="15" spans="1:23" x14ac:dyDescent="0.25">
      <c r="A15" s="7" t="s">
        <v>45</v>
      </c>
      <c r="B15" s="34">
        <v>0</v>
      </c>
      <c r="C15" s="36">
        <v>0</v>
      </c>
      <c r="D15" s="32">
        <f>2.7/3.9</f>
        <v>0.6923076923076924</v>
      </c>
      <c r="E15" s="37">
        <v>0</v>
      </c>
      <c r="F15" s="8">
        <v>999999</v>
      </c>
      <c r="G15" s="37">
        <v>0</v>
      </c>
      <c r="H15" s="8">
        <v>0</v>
      </c>
      <c r="I15" s="37">
        <v>240</v>
      </c>
      <c r="J15" s="38">
        <v>150</v>
      </c>
      <c r="K15" s="34" t="s">
        <v>29</v>
      </c>
      <c r="L15" s="7">
        <v>1</v>
      </c>
      <c r="M15" s="7"/>
      <c r="N15" s="7"/>
      <c r="O15" s="34" t="s">
        <v>28</v>
      </c>
      <c r="P15" s="7">
        <v>1</v>
      </c>
    </row>
    <row r="16" spans="1:23" x14ac:dyDescent="0.25">
      <c r="A16" s="7" t="s">
        <v>58</v>
      </c>
      <c r="B16" s="34">
        <v>0</v>
      </c>
      <c r="C16" s="36">
        <v>0</v>
      </c>
      <c r="D16" s="32">
        <f>5.5/7.8</f>
        <v>0.70512820512820518</v>
      </c>
      <c r="E16" s="37">
        <v>0</v>
      </c>
      <c r="F16" s="8">
        <v>999999</v>
      </c>
      <c r="G16" s="37">
        <v>0</v>
      </c>
      <c r="H16" s="8">
        <v>0</v>
      </c>
      <c r="I16" s="37">
        <v>240</v>
      </c>
      <c r="J16" s="38">
        <v>100</v>
      </c>
      <c r="K16" s="34" t="s">
        <v>29</v>
      </c>
      <c r="L16" s="7">
        <v>1</v>
      </c>
      <c r="M16" s="7"/>
      <c r="N16" s="7"/>
      <c r="O16" s="34" t="s">
        <v>28</v>
      </c>
      <c r="P16" s="7">
        <v>1</v>
      </c>
    </row>
    <row r="17" spans="1:20" x14ac:dyDescent="0.25">
      <c r="A17" s="7" t="s">
        <v>59</v>
      </c>
      <c r="B17" s="34">
        <v>0</v>
      </c>
      <c r="C17" s="36">
        <v>0</v>
      </c>
      <c r="D17" s="32">
        <f>13.5/8.8</f>
        <v>1.5340909090909089</v>
      </c>
      <c r="E17" s="37">
        <v>0</v>
      </c>
      <c r="F17" s="8">
        <v>999999</v>
      </c>
      <c r="G17" s="37">
        <v>0</v>
      </c>
      <c r="H17" s="8">
        <v>0</v>
      </c>
      <c r="I17" s="37">
        <v>240</v>
      </c>
      <c r="J17" s="38">
        <v>50</v>
      </c>
      <c r="K17" s="34" t="s">
        <v>29</v>
      </c>
      <c r="L17" s="7">
        <v>1</v>
      </c>
      <c r="M17" s="7"/>
      <c r="N17" s="7"/>
      <c r="O17" s="34" t="s">
        <v>28</v>
      </c>
      <c r="P17" s="7">
        <v>1</v>
      </c>
    </row>
    <row r="18" spans="1:20" x14ac:dyDescent="0.25">
      <c r="A18" s="19" t="s">
        <v>864</v>
      </c>
      <c r="B18" s="34">
        <v>0</v>
      </c>
      <c r="C18" s="36">
        <v>0</v>
      </c>
      <c r="D18" s="32">
        <f>1.5/2</f>
        <v>0.75</v>
      </c>
      <c r="E18" s="37">
        <v>0</v>
      </c>
      <c r="F18" s="20">
        <v>86</v>
      </c>
      <c r="G18" s="37">
        <v>0</v>
      </c>
      <c r="H18" s="28">
        <v>0</v>
      </c>
      <c r="I18" s="37">
        <v>240</v>
      </c>
      <c r="J18" s="38">
        <v>75</v>
      </c>
      <c r="K18" s="34" t="s">
        <v>861</v>
      </c>
      <c r="L18" s="19">
        <v>1</v>
      </c>
      <c r="M18" s="19"/>
      <c r="N18" s="19"/>
      <c r="O18" s="34" t="s">
        <v>27</v>
      </c>
      <c r="P18" s="19">
        <v>1</v>
      </c>
      <c r="Q18" s="19"/>
      <c r="R18" s="19"/>
      <c r="S18" s="19"/>
      <c r="T18" s="19"/>
    </row>
    <row r="19" spans="1:20" x14ac:dyDescent="0.25">
      <c r="A19" s="21" t="s">
        <v>865</v>
      </c>
      <c r="B19" s="34">
        <v>0</v>
      </c>
      <c r="C19" s="36">
        <v>0</v>
      </c>
      <c r="D19" s="39">
        <v>8.3333333333333343E-2</v>
      </c>
      <c r="E19" s="37">
        <v>0</v>
      </c>
      <c r="F19" s="22">
        <v>0.75</v>
      </c>
      <c r="G19" s="37">
        <v>0</v>
      </c>
      <c r="H19" s="28">
        <v>0</v>
      </c>
      <c r="I19" s="37">
        <v>240</v>
      </c>
      <c r="J19" s="38">
        <v>125</v>
      </c>
      <c r="K19" s="34" t="s">
        <v>861</v>
      </c>
      <c r="L19" s="21">
        <v>1</v>
      </c>
      <c r="M19" s="21"/>
      <c r="N19" s="21"/>
      <c r="O19" s="34" t="s">
        <v>28</v>
      </c>
      <c r="P19" s="21">
        <v>1</v>
      </c>
      <c r="Q19" s="21"/>
      <c r="R19" s="21"/>
      <c r="S19" s="21"/>
      <c r="T19" s="21"/>
    </row>
    <row r="20" spans="1:20" x14ac:dyDescent="0.25">
      <c r="A20" s="23" t="s">
        <v>866</v>
      </c>
      <c r="B20" s="34">
        <v>0</v>
      </c>
      <c r="C20" s="36">
        <v>0</v>
      </c>
      <c r="D20" s="39">
        <v>0.5</v>
      </c>
      <c r="E20" s="37">
        <v>0</v>
      </c>
      <c r="F20" s="24">
        <v>2.42</v>
      </c>
      <c r="G20" s="37">
        <v>0</v>
      </c>
      <c r="H20" s="28">
        <v>0</v>
      </c>
      <c r="I20" s="37">
        <v>240</v>
      </c>
      <c r="J20" s="38">
        <v>175</v>
      </c>
      <c r="K20" s="34" t="s">
        <v>861</v>
      </c>
      <c r="L20" s="23">
        <v>1</v>
      </c>
      <c r="M20" s="23"/>
      <c r="N20" s="23"/>
      <c r="O20" s="34" t="s">
        <v>28</v>
      </c>
      <c r="P20" s="23">
        <v>1</v>
      </c>
    </row>
    <row r="21" spans="1:20" x14ac:dyDescent="0.25">
      <c r="A21" s="25" t="s">
        <v>867</v>
      </c>
      <c r="B21" s="34">
        <v>0</v>
      </c>
      <c r="C21" s="36">
        <v>0</v>
      </c>
      <c r="D21" s="39">
        <v>6.1111111111111114E-3</v>
      </c>
      <c r="E21" s="37">
        <v>0</v>
      </c>
      <c r="F21" s="26">
        <v>13.03</v>
      </c>
      <c r="G21" s="37">
        <v>0</v>
      </c>
      <c r="H21" s="28">
        <v>0</v>
      </c>
      <c r="I21" s="37">
        <v>240</v>
      </c>
      <c r="J21" s="38">
        <v>225</v>
      </c>
      <c r="K21" s="34" t="s">
        <v>861</v>
      </c>
      <c r="L21" s="25">
        <v>1</v>
      </c>
      <c r="M21" s="25"/>
      <c r="N21" s="25"/>
      <c r="O21" s="34" t="s">
        <v>28</v>
      </c>
      <c r="P21" s="25">
        <v>1</v>
      </c>
    </row>
    <row r="22" spans="1:20" x14ac:dyDescent="0.25">
      <c r="A22" s="27" t="s">
        <v>868</v>
      </c>
      <c r="B22" s="34">
        <v>0</v>
      </c>
      <c r="C22" s="36">
        <v>0</v>
      </c>
      <c r="D22" s="39">
        <v>1.3235294117647061</v>
      </c>
      <c r="E22" s="37">
        <v>0</v>
      </c>
      <c r="F22" s="28">
        <v>41.45</v>
      </c>
      <c r="G22" s="37">
        <v>0</v>
      </c>
      <c r="H22" s="28">
        <v>0</v>
      </c>
      <c r="I22" s="37">
        <v>240</v>
      </c>
      <c r="J22" s="38">
        <v>275</v>
      </c>
      <c r="K22" s="34" t="s">
        <v>861</v>
      </c>
      <c r="L22" s="27">
        <v>1</v>
      </c>
      <c r="M22" s="27"/>
      <c r="N22" s="27"/>
      <c r="O22" s="34" t="s">
        <v>28</v>
      </c>
      <c r="P22" s="27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E15" sqref="E15"/>
    </sheetView>
  </sheetViews>
  <sheetFormatPr baseColWidth="10" defaultColWidth="9.140625" defaultRowHeight="15" x14ac:dyDescent="0.25"/>
  <cols>
    <col min="1" max="1" width="11.28515625" bestFit="1" customWidth="1"/>
    <col min="2" max="2" width="15.42578125" customWidth="1"/>
    <col min="3" max="3" width="13.5703125" customWidth="1"/>
  </cols>
  <sheetData>
    <row r="1" spans="1:4" x14ac:dyDescent="0.25">
      <c r="A1" s="29" t="s">
        <v>0</v>
      </c>
      <c r="B1" s="29" t="s">
        <v>66</v>
      </c>
      <c r="C1" s="29" t="s">
        <v>67</v>
      </c>
      <c r="D1" s="29" t="s">
        <v>4</v>
      </c>
    </row>
    <row r="2" spans="1:4" x14ac:dyDescent="0.25">
      <c r="A2" s="29" t="s">
        <v>835</v>
      </c>
      <c r="B2" s="29" t="s">
        <v>5</v>
      </c>
      <c r="C2" s="29" t="s">
        <v>9</v>
      </c>
      <c r="D2" s="29" t="s">
        <v>10</v>
      </c>
    </row>
    <row r="3" spans="1:4" x14ac:dyDescent="0.25">
      <c r="A3" s="29" t="s">
        <v>836</v>
      </c>
      <c r="B3" s="29" t="s">
        <v>5</v>
      </c>
      <c r="C3" s="29" t="s">
        <v>832</v>
      </c>
      <c r="D3" s="29" t="s">
        <v>10</v>
      </c>
    </row>
    <row r="4" spans="1:4" x14ac:dyDescent="0.25">
      <c r="A4" s="29" t="s">
        <v>869</v>
      </c>
      <c r="B4" s="29" t="s">
        <v>858</v>
      </c>
      <c r="C4" s="29" t="s">
        <v>860</v>
      </c>
      <c r="D4" s="29" t="s">
        <v>859</v>
      </c>
    </row>
    <row r="5" spans="1:4" x14ac:dyDescent="0.25">
      <c r="A5" s="29" t="s">
        <v>32</v>
      </c>
      <c r="B5" s="29" t="s">
        <v>18</v>
      </c>
      <c r="C5" s="29" t="s">
        <v>30</v>
      </c>
      <c r="D5" s="29" t="s">
        <v>19</v>
      </c>
    </row>
    <row r="6" spans="1:4" x14ac:dyDescent="0.25">
      <c r="A6" s="29" t="s">
        <v>33</v>
      </c>
      <c r="B6" s="29" t="s">
        <v>18</v>
      </c>
      <c r="C6" s="29" t="s">
        <v>31</v>
      </c>
      <c r="D6" s="29" t="s">
        <v>19</v>
      </c>
    </row>
    <row r="7" spans="1:4" x14ac:dyDescent="0.25">
      <c r="A7" s="29" t="s">
        <v>870</v>
      </c>
      <c r="B7" s="29" t="s">
        <v>18</v>
      </c>
      <c r="C7" s="29" t="s">
        <v>862</v>
      </c>
      <c r="D7" s="29" t="s">
        <v>19</v>
      </c>
    </row>
    <row r="8" spans="1:4" x14ac:dyDescent="0.25">
      <c r="A8" s="29" t="s">
        <v>34</v>
      </c>
      <c r="B8" s="29" t="s">
        <v>6</v>
      </c>
      <c r="C8" s="29" t="s">
        <v>11</v>
      </c>
      <c r="D8" s="29" t="s">
        <v>7</v>
      </c>
    </row>
    <row r="9" spans="1:4" x14ac:dyDescent="0.25">
      <c r="A9" s="29" t="s">
        <v>837</v>
      </c>
      <c r="B9" s="29" t="s">
        <v>6</v>
      </c>
      <c r="C9" s="29" t="s">
        <v>833</v>
      </c>
      <c r="D9" s="29" t="s">
        <v>7</v>
      </c>
    </row>
    <row r="10" spans="1:4" x14ac:dyDescent="0.25">
      <c r="A10" s="29" t="s">
        <v>838</v>
      </c>
      <c r="B10" s="29" t="s">
        <v>6</v>
      </c>
      <c r="C10" s="29" t="s">
        <v>834</v>
      </c>
      <c r="D10" s="29" t="s">
        <v>7</v>
      </c>
    </row>
    <row r="11" spans="1:4" x14ac:dyDescent="0.25">
      <c r="A11" s="29" t="s">
        <v>871</v>
      </c>
      <c r="B11" s="29" t="s">
        <v>6</v>
      </c>
      <c r="C11" s="29" t="s">
        <v>863</v>
      </c>
      <c r="D11" s="29" t="s">
        <v>7</v>
      </c>
    </row>
    <row r="12" spans="1:4" x14ac:dyDescent="0.25">
      <c r="A12" s="29" t="s">
        <v>839</v>
      </c>
      <c r="B12" s="29" t="s">
        <v>829</v>
      </c>
      <c r="C12" s="29" t="s">
        <v>11</v>
      </c>
      <c r="D12" s="29" t="s">
        <v>830</v>
      </c>
    </row>
    <row r="13" spans="1:4" x14ac:dyDescent="0.25">
      <c r="A13" s="29" t="s">
        <v>840</v>
      </c>
      <c r="B13" s="30" t="s">
        <v>829</v>
      </c>
      <c r="C13" s="29" t="s">
        <v>833</v>
      </c>
      <c r="D13" s="29" t="s">
        <v>830</v>
      </c>
    </row>
    <row r="14" spans="1:4" x14ac:dyDescent="0.25">
      <c r="A14" s="29" t="s">
        <v>841</v>
      </c>
      <c r="B14" s="30" t="s">
        <v>829</v>
      </c>
      <c r="C14" s="29" t="s">
        <v>834</v>
      </c>
      <c r="D14" s="29" t="s">
        <v>830</v>
      </c>
    </row>
    <row r="15" spans="1:4" s="30" customFormat="1" x14ac:dyDescent="0.25">
      <c r="A15" s="30" t="s">
        <v>886</v>
      </c>
      <c r="B15" s="30" t="s">
        <v>829</v>
      </c>
      <c r="C15" s="30" t="s">
        <v>863</v>
      </c>
      <c r="D15" s="30" t="s">
        <v>830</v>
      </c>
    </row>
    <row r="16" spans="1:4" x14ac:dyDescent="0.25">
      <c r="A16" s="29" t="s">
        <v>842</v>
      </c>
      <c r="B16" s="29" t="s">
        <v>9</v>
      </c>
      <c r="C16" s="29" t="s">
        <v>35</v>
      </c>
      <c r="D16" s="29" t="s">
        <v>8</v>
      </c>
    </row>
    <row r="17" spans="1:4" x14ac:dyDescent="0.25">
      <c r="A17" s="29" t="s">
        <v>843</v>
      </c>
      <c r="B17" s="29" t="s">
        <v>9</v>
      </c>
      <c r="C17" s="29" t="s">
        <v>36</v>
      </c>
      <c r="D17" s="29" t="s">
        <v>29</v>
      </c>
    </row>
    <row r="18" spans="1:4" x14ac:dyDescent="0.25">
      <c r="A18" s="29" t="s">
        <v>844</v>
      </c>
      <c r="B18" s="29" t="s">
        <v>9</v>
      </c>
      <c r="C18" s="29" t="s">
        <v>845</v>
      </c>
      <c r="D18" s="29" t="s">
        <v>831</v>
      </c>
    </row>
    <row r="19" spans="1:4" x14ac:dyDescent="0.25">
      <c r="A19" s="29" t="s">
        <v>846</v>
      </c>
      <c r="B19" s="29" t="s">
        <v>832</v>
      </c>
      <c r="C19" s="29" t="s">
        <v>35</v>
      </c>
      <c r="D19" s="29" t="s">
        <v>8</v>
      </c>
    </row>
    <row r="20" spans="1:4" x14ac:dyDescent="0.25">
      <c r="A20" s="29" t="s">
        <v>847</v>
      </c>
      <c r="B20" s="29" t="s">
        <v>832</v>
      </c>
      <c r="C20" s="29" t="s">
        <v>36</v>
      </c>
      <c r="D20" s="29" t="s">
        <v>29</v>
      </c>
    </row>
    <row r="21" spans="1:4" x14ac:dyDescent="0.25">
      <c r="A21" s="29" t="s">
        <v>872</v>
      </c>
      <c r="B21" s="29" t="s">
        <v>860</v>
      </c>
      <c r="C21" s="29" t="s">
        <v>873</v>
      </c>
      <c r="D21" s="29" t="s">
        <v>861</v>
      </c>
    </row>
    <row r="22" spans="1:4" x14ac:dyDescent="0.25">
      <c r="A22" s="29" t="s">
        <v>37</v>
      </c>
      <c r="B22" s="29" t="s">
        <v>30</v>
      </c>
      <c r="C22" s="29" t="s">
        <v>35</v>
      </c>
      <c r="D22" s="29" t="s">
        <v>8</v>
      </c>
    </row>
    <row r="23" spans="1:4" x14ac:dyDescent="0.25">
      <c r="A23" s="29" t="s">
        <v>38</v>
      </c>
      <c r="B23" s="29" t="s">
        <v>31</v>
      </c>
      <c r="C23" s="29" t="s">
        <v>36</v>
      </c>
      <c r="D23" s="29" t="s">
        <v>29</v>
      </c>
    </row>
    <row r="24" spans="1:4" x14ac:dyDescent="0.25">
      <c r="A24" s="29" t="s">
        <v>874</v>
      </c>
      <c r="B24" s="29" t="s">
        <v>862</v>
      </c>
      <c r="C24" s="29" t="s">
        <v>873</v>
      </c>
      <c r="D24" s="29" t="s">
        <v>861</v>
      </c>
    </row>
    <row r="25" spans="1:4" x14ac:dyDescent="0.25">
      <c r="A25" s="29" t="s">
        <v>39</v>
      </c>
      <c r="B25" s="29" t="s">
        <v>11</v>
      </c>
      <c r="C25" s="29" t="s">
        <v>35</v>
      </c>
      <c r="D25" s="29" t="s">
        <v>8</v>
      </c>
    </row>
    <row r="26" spans="1:4" x14ac:dyDescent="0.25">
      <c r="A26" s="29" t="s">
        <v>848</v>
      </c>
      <c r="B26" s="29" t="s">
        <v>833</v>
      </c>
      <c r="C26" s="29" t="s">
        <v>35</v>
      </c>
      <c r="D26" s="29" t="s">
        <v>8</v>
      </c>
    </row>
    <row r="27" spans="1:4" x14ac:dyDescent="0.25">
      <c r="A27" s="29" t="s">
        <v>849</v>
      </c>
      <c r="B27" s="29" t="s">
        <v>833</v>
      </c>
      <c r="C27" s="29" t="s">
        <v>36</v>
      </c>
      <c r="D27" s="29" t="s">
        <v>29</v>
      </c>
    </row>
    <row r="28" spans="1:4" x14ac:dyDescent="0.25">
      <c r="A28" s="29" t="s">
        <v>850</v>
      </c>
      <c r="B28" s="29" t="s">
        <v>834</v>
      </c>
      <c r="C28" s="29" t="s">
        <v>35</v>
      </c>
      <c r="D28" s="29" t="s">
        <v>8</v>
      </c>
    </row>
    <row r="29" spans="1:4" x14ac:dyDescent="0.25">
      <c r="A29" s="29" t="s">
        <v>851</v>
      </c>
      <c r="B29" s="29" t="s">
        <v>834</v>
      </c>
      <c r="C29" s="29" t="s">
        <v>36</v>
      </c>
      <c r="D29" s="29" t="s">
        <v>29</v>
      </c>
    </row>
    <row r="30" spans="1:4" x14ac:dyDescent="0.25">
      <c r="A30" s="29" t="s">
        <v>852</v>
      </c>
      <c r="B30" s="29" t="s">
        <v>834</v>
      </c>
      <c r="C30" s="29" t="s">
        <v>845</v>
      </c>
      <c r="D30" s="29" t="s">
        <v>831</v>
      </c>
    </row>
    <row r="31" spans="1:4" x14ac:dyDescent="0.25">
      <c r="A31" s="29" t="s">
        <v>875</v>
      </c>
      <c r="B31" s="29" t="s">
        <v>863</v>
      </c>
      <c r="C31" s="29" t="s">
        <v>873</v>
      </c>
      <c r="D31" s="29" t="s">
        <v>861</v>
      </c>
    </row>
    <row r="32" spans="1:4" x14ac:dyDescent="0.25">
      <c r="A32" s="29" t="s">
        <v>40</v>
      </c>
      <c r="B32" s="29" t="s">
        <v>35</v>
      </c>
      <c r="C32" s="29" t="s">
        <v>50</v>
      </c>
      <c r="D32" s="29" t="s">
        <v>8</v>
      </c>
    </row>
    <row r="33" spans="1:4" x14ac:dyDescent="0.25">
      <c r="A33" s="29" t="s">
        <v>52</v>
      </c>
      <c r="B33" s="29" t="s">
        <v>36</v>
      </c>
      <c r="C33" s="29" t="s">
        <v>51</v>
      </c>
      <c r="D33" s="29" t="s">
        <v>29</v>
      </c>
    </row>
    <row r="34" spans="1:4" x14ac:dyDescent="0.25">
      <c r="A34" s="29" t="s">
        <v>876</v>
      </c>
      <c r="B34" s="29" t="s">
        <v>873</v>
      </c>
      <c r="C34" s="29" t="s">
        <v>864</v>
      </c>
      <c r="D34" s="29" t="s">
        <v>861</v>
      </c>
    </row>
    <row r="35" spans="1:4" x14ac:dyDescent="0.25">
      <c r="A35" s="29" t="s">
        <v>46</v>
      </c>
      <c r="B35" s="29" t="s">
        <v>36</v>
      </c>
      <c r="C35" s="29" t="s">
        <v>44</v>
      </c>
      <c r="D35" s="29" t="s">
        <v>29</v>
      </c>
    </row>
    <row r="36" spans="1:4" x14ac:dyDescent="0.25">
      <c r="A36" s="29" t="s">
        <v>47</v>
      </c>
      <c r="B36" s="29" t="s">
        <v>36</v>
      </c>
      <c r="C36" s="29" t="s">
        <v>45</v>
      </c>
      <c r="D36" s="29" t="s">
        <v>29</v>
      </c>
    </row>
    <row r="37" spans="1:4" x14ac:dyDescent="0.25">
      <c r="A37" s="29" t="s">
        <v>60</v>
      </c>
      <c r="B37" s="29" t="s">
        <v>36</v>
      </c>
      <c r="C37" s="29" t="s">
        <v>58</v>
      </c>
      <c r="D37" s="29" t="s">
        <v>29</v>
      </c>
    </row>
    <row r="38" spans="1:4" x14ac:dyDescent="0.25">
      <c r="A38" s="29" t="s">
        <v>61</v>
      </c>
      <c r="B38" s="29" t="s">
        <v>36</v>
      </c>
      <c r="C38" s="29" t="s">
        <v>59</v>
      </c>
      <c r="D38" s="29" t="s">
        <v>29</v>
      </c>
    </row>
    <row r="39" spans="1:4" x14ac:dyDescent="0.25">
      <c r="A39" s="29" t="s">
        <v>877</v>
      </c>
      <c r="B39" s="29" t="s">
        <v>873</v>
      </c>
      <c r="C39" s="29" t="s">
        <v>865</v>
      </c>
      <c r="D39" s="29" t="s">
        <v>861</v>
      </c>
    </row>
    <row r="40" spans="1:4" x14ac:dyDescent="0.25">
      <c r="A40" s="29" t="s">
        <v>878</v>
      </c>
      <c r="B40" s="29" t="s">
        <v>873</v>
      </c>
      <c r="C40" s="29" t="s">
        <v>866</v>
      </c>
      <c r="D40" s="29" t="s">
        <v>861</v>
      </c>
    </row>
    <row r="41" spans="1:4" x14ac:dyDescent="0.25">
      <c r="A41" s="29" t="s">
        <v>879</v>
      </c>
      <c r="B41" s="29" t="s">
        <v>873</v>
      </c>
      <c r="C41" s="29" t="s">
        <v>867</v>
      </c>
      <c r="D41" s="29" t="s">
        <v>861</v>
      </c>
    </row>
    <row r="42" spans="1:4" x14ac:dyDescent="0.25">
      <c r="A42" s="29" t="s">
        <v>880</v>
      </c>
      <c r="B42" s="29" t="s">
        <v>873</v>
      </c>
      <c r="C42" s="29" t="s">
        <v>868</v>
      </c>
      <c r="D42" s="29" t="s">
        <v>861</v>
      </c>
    </row>
    <row r="43" spans="1:4" x14ac:dyDescent="0.25">
      <c r="A43" s="29" t="s">
        <v>853</v>
      </c>
      <c r="B43" s="29" t="s">
        <v>845</v>
      </c>
      <c r="C43" s="29" t="s">
        <v>831</v>
      </c>
      <c r="D43" s="29" t="s">
        <v>831</v>
      </c>
    </row>
    <row r="44" spans="1:4" x14ac:dyDescent="0.25">
      <c r="A44" s="29" t="s">
        <v>41</v>
      </c>
      <c r="B44" s="29" t="s">
        <v>50</v>
      </c>
      <c r="C44" s="29" t="s">
        <v>27</v>
      </c>
      <c r="D44" s="29" t="s">
        <v>27</v>
      </c>
    </row>
    <row r="45" spans="1:4" x14ac:dyDescent="0.25">
      <c r="A45" s="29" t="s">
        <v>53</v>
      </c>
      <c r="B45" s="29" t="s">
        <v>51</v>
      </c>
      <c r="C45" s="29" t="s">
        <v>27</v>
      </c>
      <c r="D45" s="29" t="s">
        <v>27</v>
      </c>
    </row>
    <row r="46" spans="1:4" x14ac:dyDescent="0.25">
      <c r="A46" s="29" t="s">
        <v>881</v>
      </c>
      <c r="B46" s="29" t="s">
        <v>864</v>
      </c>
      <c r="C46" s="29" t="s">
        <v>27</v>
      </c>
      <c r="D46" s="29" t="s">
        <v>27</v>
      </c>
    </row>
    <row r="47" spans="1:4" x14ac:dyDescent="0.25">
      <c r="A47" s="29" t="s">
        <v>48</v>
      </c>
      <c r="B47" s="29" t="s">
        <v>44</v>
      </c>
      <c r="C47" s="29" t="s">
        <v>54</v>
      </c>
      <c r="D47" s="29" t="s">
        <v>28</v>
      </c>
    </row>
    <row r="48" spans="1:4" x14ac:dyDescent="0.25">
      <c r="A48" s="29" t="s">
        <v>49</v>
      </c>
      <c r="B48" s="29" t="s">
        <v>45</v>
      </c>
      <c r="C48" s="29" t="s">
        <v>55</v>
      </c>
      <c r="D48" s="29" t="s">
        <v>28</v>
      </c>
    </row>
    <row r="49" spans="1:4" x14ac:dyDescent="0.25">
      <c r="A49" s="29" t="s">
        <v>62</v>
      </c>
      <c r="B49" s="29" t="s">
        <v>58</v>
      </c>
      <c r="C49" s="29" t="s">
        <v>56</v>
      </c>
      <c r="D49" s="29" t="s">
        <v>28</v>
      </c>
    </row>
    <row r="50" spans="1:4" x14ac:dyDescent="0.25">
      <c r="A50" s="29" t="s">
        <v>63</v>
      </c>
      <c r="B50" s="29" t="s">
        <v>59</v>
      </c>
      <c r="C50" s="29" t="s">
        <v>57</v>
      </c>
      <c r="D50" s="29" t="s">
        <v>28</v>
      </c>
    </row>
    <row r="51" spans="1:4" x14ac:dyDescent="0.25">
      <c r="A51" s="29" t="s">
        <v>882</v>
      </c>
      <c r="B51" s="29" t="s">
        <v>865</v>
      </c>
      <c r="C51" s="29" t="s">
        <v>54</v>
      </c>
      <c r="D51" s="29" t="s">
        <v>28</v>
      </c>
    </row>
    <row r="52" spans="1:4" x14ac:dyDescent="0.25">
      <c r="A52" s="29" t="s">
        <v>883</v>
      </c>
      <c r="B52" s="29" t="s">
        <v>866</v>
      </c>
      <c r="C52" s="29" t="s">
        <v>55</v>
      </c>
      <c r="D52" s="29" t="s">
        <v>28</v>
      </c>
    </row>
    <row r="53" spans="1:4" x14ac:dyDescent="0.25">
      <c r="A53" s="29" t="s">
        <v>884</v>
      </c>
      <c r="B53" s="29" t="s">
        <v>867</v>
      </c>
      <c r="C53" s="29" t="s">
        <v>56</v>
      </c>
      <c r="D53" s="29" t="s">
        <v>28</v>
      </c>
    </row>
    <row r="54" spans="1:4" x14ac:dyDescent="0.25">
      <c r="A54" s="29" t="s">
        <v>885</v>
      </c>
      <c r="B54" s="29" t="s">
        <v>868</v>
      </c>
      <c r="C54" s="29" t="s">
        <v>57</v>
      </c>
      <c r="D54" s="29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7" sqref="G7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25">
      <c r="A2" s="10" t="s">
        <v>35</v>
      </c>
      <c r="B2" s="10" t="s">
        <v>8</v>
      </c>
      <c r="C2" s="10">
        <v>0</v>
      </c>
      <c r="D2" s="10">
        <v>0</v>
      </c>
      <c r="E2">
        <v>160</v>
      </c>
      <c r="F2">
        <v>250</v>
      </c>
    </row>
    <row r="3" spans="1:6" x14ac:dyDescent="0.25">
      <c r="A3" s="10" t="s">
        <v>36</v>
      </c>
      <c r="B3" s="10" t="s">
        <v>29</v>
      </c>
      <c r="C3" s="10">
        <v>0</v>
      </c>
      <c r="D3" s="10">
        <v>0</v>
      </c>
      <c r="E3" s="10">
        <v>160</v>
      </c>
      <c r="F3">
        <v>150</v>
      </c>
    </row>
    <row r="4" spans="1:6" x14ac:dyDescent="0.25">
      <c r="A4" s="10" t="s">
        <v>845</v>
      </c>
      <c r="B4" s="10" t="s">
        <v>831</v>
      </c>
      <c r="C4" s="10">
        <v>0</v>
      </c>
      <c r="D4" s="10">
        <v>0</v>
      </c>
      <c r="E4" s="10">
        <v>160</v>
      </c>
      <c r="F4">
        <v>50</v>
      </c>
    </row>
    <row r="5" spans="1:6" x14ac:dyDescent="0.25">
      <c r="A5" s="30" t="s">
        <v>873</v>
      </c>
      <c r="B5" s="30" t="s">
        <v>861</v>
      </c>
      <c r="C5" s="30">
        <v>0</v>
      </c>
      <c r="D5" s="30">
        <v>0</v>
      </c>
      <c r="E5">
        <v>160</v>
      </c>
      <c r="F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J117" workbookViewId="0">
      <selection activeCell="S2" sqref="S2:S167"/>
    </sheetView>
  </sheetViews>
  <sheetFormatPr baseColWidth="10"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f>50*10^6</f>
        <v>50000000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 s="31">
        <f t="shared" ref="S3:S66" si="2">50*10^6</f>
        <v>50000000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 s="31">
        <f t="shared" si="2"/>
        <v>50000000</v>
      </c>
    </row>
    <row r="5" spans="1:19" x14ac:dyDescent="0.25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 s="31">
        <f t="shared" si="2"/>
        <v>50000000</v>
      </c>
    </row>
    <row r="6" spans="1:19" x14ac:dyDescent="0.25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 s="31">
        <f t="shared" si="2"/>
        <v>50000000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 s="31">
        <f t="shared" si="2"/>
        <v>50000000</v>
      </c>
    </row>
    <row r="8" spans="1:19" x14ac:dyDescent="0.25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 s="31">
        <f t="shared" si="2"/>
        <v>50000000</v>
      </c>
    </row>
    <row r="9" spans="1:19" x14ac:dyDescent="0.25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 s="31">
        <f t="shared" si="2"/>
        <v>50000000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 s="31">
        <f t="shared" si="2"/>
        <v>50000000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 s="31">
        <f t="shared" si="2"/>
        <v>50000000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 s="31">
        <f t="shared" si="2"/>
        <v>50000000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 s="31">
        <f t="shared" si="2"/>
        <v>50000000</v>
      </c>
    </row>
    <row r="14" spans="1:19" x14ac:dyDescent="0.25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 s="31">
        <f t="shared" si="2"/>
        <v>50000000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 s="31">
        <f t="shared" si="2"/>
        <v>50000000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 s="31">
        <f t="shared" si="2"/>
        <v>50000000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 s="31">
        <f t="shared" si="2"/>
        <v>50000000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 s="31">
        <f t="shared" si="2"/>
        <v>50000000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 s="31">
        <f t="shared" si="2"/>
        <v>50000000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 s="31">
        <f t="shared" si="2"/>
        <v>50000000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 s="31">
        <f t="shared" si="2"/>
        <v>50000000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 s="31">
        <f t="shared" si="2"/>
        <v>50000000</v>
      </c>
    </row>
    <row r="23" spans="1:19" x14ac:dyDescent="0.25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 s="31">
        <f t="shared" si="2"/>
        <v>50000000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 s="31">
        <f t="shared" si="2"/>
        <v>50000000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 s="31">
        <f t="shared" si="2"/>
        <v>50000000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 s="31">
        <f t="shared" si="2"/>
        <v>50000000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 s="31">
        <f t="shared" si="2"/>
        <v>50000000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 s="31">
        <f t="shared" si="2"/>
        <v>50000000</v>
      </c>
    </row>
    <row r="29" spans="1:19" x14ac:dyDescent="0.25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 s="31">
        <f t="shared" si="2"/>
        <v>50000000</v>
      </c>
    </row>
    <row r="30" spans="1:19" x14ac:dyDescent="0.25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 s="31">
        <f t="shared" si="2"/>
        <v>50000000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 s="31">
        <f t="shared" si="2"/>
        <v>50000000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 s="31">
        <f t="shared" si="2"/>
        <v>50000000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 s="31">
        <f t="shared" si="2"/>
        <v>50000000</v>
      </c>
    </row>
    <row r="34" spans="1:19" x14ac:dyDescent="0.25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3">F34/10^9</f>
        <v>1.01</v>
      </c>
      <c r="H34" s="3">
        <f t="shared" ref="H34:H65" si="4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 s="31">
        <f t="shared" si="2"/>
        <v>50000000</v>
      </c>
    </row>
    <row r="35" spans="1:19" x14ac:dyDescent="0.25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3"/>
        <v>0.14899999999999999</v>
      </c>
      <c r="H35" s="3">
        <f t="shared" si="4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 s="31">
        <f t="shared" si="2"/>
        <v>50000000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3"/>
        <v>1.1399999999999999</v>
      </c>
      <c r="H36" s="3">
        <f t="shared" si="4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 s="31">
        <f t="shared" si="2"/>
        <v>50000000</v>
      </c>
    </row>
    <row r="37" spans="1:19" x14ac:dyDescent="0.25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3"/>
        <v>0.38500000000000001</v>
      </c>
      <c r="H37" s="3">
        <f t="shared" si="4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 s="31">
        <f t="shared" si="2"/>
        <v>50000000</v>
      </c>
    </row>
    <row r="38" spans="1:19" x14ac:dyDescent="0.25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3"/>
        <v>0.16</v>
      </c>
      <c r="H38" s="3">
        <f t="shared" si="4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 s="31">
        <f t="shared" si="2"/>
        <v>50000000</v>
      </c>
    </row>
    <row r="39" spans="1:19" x14ac:dyDescent="0.25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3"/>
        <v>0.121</v>
      </c>
      <c r="H39" s="3">
        <f t="shared" si="4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 s="31">
        <f t="shared" si="2"/>
        <v>50000000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3"/>
        <v>0.16400000000000001</v>
      </c>
      <c r="H40" s="3">
        <f t="shared" si="4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 s="31">
        <f t="shared" si="2"/>
        <v>50000000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3"/>
        <v>0.61699999999999999</v>
      </c>
      <c r="H41" s="3">
        <f t="shared" si="4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 s="31">
        <f t="shared" si="2"/>
        <v>50000000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3"/>
        <v>0.41599999999999998</v>
      </c>
      <c r="H42" s="3">
        <f t="shared" si="4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 s="31">
        <f t="shared" si="2"/>
        <v>50000000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3"/>
        <v>7.43</v>
      </c>
      <c r="H43" s="3">
        <f t="shared" si="4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 s="31">
        <f t="shared" si="2"/>
        <v>50000000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3"/>
        <v>0.33100000000000002</v>
      </c>
      <c r="H44" s="3">
        <f t="shared" si="4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 s="31">
        <f t="shared" si="2"/>
        <v>50000000</v>
      </c>
    </row>
    <row r="45" spans="1:19" x14ac:dyDescent="0.25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3"/>
        <v>0.23100000000000001</v>
      </c>
      <c r="H45" s="3">
        <f t="shared" si="4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 s="31">
        <f t="shared" si="2"/>
        <v>50000000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3"/>
        <v>0.25800000000000001</v>
      </c>
      <c r="H46" s="3">
        <f t="shared" si="4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 s="31">
        <f t="shared" si="2"/>
        <v>50000000</v>
      </c>
    </row>
    <row r="47" spans="1:19" x14ac:dyDescent="0.25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3"/>
        <v>0.38800000000000001</v>
      </c>
      <c r="H47" s="3">
        <f t="shared" si="4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 s="31">
        <f t="shared" si="2"/>
        <v>50000000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3"/>
        <v>0.44700000000000001</v>
      </c>
      <c r="H48" s="3">
        <f t="shared" si="4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 s="31">
        <f t="shared" si="2"/>
        <v>50000000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3"/>
        <v>0.33600000000000002</v>
      </c>
      <c r="H49" s="3">
        <f t="shared" si="4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 s="31">
        <f t="shared" si="2"/>
        <v>50000000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3"/>
        <v>1.95</v>
      </c>
      <c r="H50" s="3">
        <f t="shared" si="4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 s="31">
        <f t="shared" si="2"/>
        <v>50000000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3"/>
        <v>0.121</v>
      </c>
      <c r="H51" s="3">
        <f t="shared" si="4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 s="31">
        <f t="shared" si="2"/>
        <v>50000000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3"/>
        <v>0.14299999999999999</v>
      </c>
      <c r="H52" s="3">
        <f t="shared" si="4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 s="31">
        <f t="shared" si="2"/>
        <v>50000000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3"/>
        <v>0.255</v>
      </c>
      <c r="H53" s="3">
        <f t="shared" si="4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 s="31">
        <f t="shared" si="2"/>
        <v>50000000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3"/>
        <v>0.11899999999999999</v>
      </c>
      <c r="H54" s="3">
        <f t="shared" si="4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 s="31">
        <f t="shared" si="2"/>
        <v>50000000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3"/>
        <v>0.19600000000000001</v>
      </c>
      <c r="H55" s="3">
        <f t="shared" si="4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 s="31">
        <f t="shared" si="2"/>
        <v>50000000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3"/>
        <v>0.80600000000000005</v>
      </c>
      <c r="H56" s="3">
        <f t="shared" si="4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 s="31">
        <f t="shared" si="2"/>
        <v>50000000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3"/>
        <v>0.255</v>
      </c>
      <c r="H57" s="3">
        <f t="shared" si="4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 s="31">
        <f t="shared" si="2"/>
        <v>50000000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3"/>
        <v>0.13800000000000001</v>
      </c>
      <c r="H58" s="3">
        <f t="shared" si="4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 s="31">
        <f t="shared" si="2"/>
        <v>50000000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3"/>
        <v>0.374</v>
      </c>
      <c r="H59" s="3">
        <f t="shared" si="4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 s="31">
        <f t="shared" si="2"/>
        <v>50000000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3"/>
        <v>0.106</v>
      </c>
      <c r="H60" s="3">
        <f t="shared" si="4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 s="31">
        <f t="shared" si="2"/>
        <v>50000000</v>
      </c>
    </row>
    <row r="61" spans="1:19" x14ac:dyDescent="0.25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3"/>
        <v>1.02</v>
      </c>
      <c r="H61" s="3">
        <f t="shared" si="4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 s="31">
        <f t="shared" si="2"/>
        <v>50000000</v>
      </c>
    </row>
    <row r="62" spans="1:19" x14ac:dyDescent="0.25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3"/>
        <v>0.107</v>
      </c>
      <c r="H62" s="3">
        <f t="shared" si="4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 s="31">
        <f t="shared" si="2"/>
        <v>50000000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3"/>
        <v>0.23699999999999999</v>
      </c>
      <c r="H63" s="3">
        <f t="shared" si="4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 s="31">
        <f t="shared" si="2"/>
        <v>50000000</v>
      </c>
    </row>
    <row r="64" spans="1:19" x14ac:dyDescent="0.25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3"/>
        <v>0.61899999999999999</v>
      </c>
      <c r="H64" s="3">
        <f t="shared" si="4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 s="31">
        <f t="shared" si="2"/>
        <v>50000000</v>
      </c>
    </row>
    <row r="65" spans="1:19" x14ac:dyDescent="0.25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3"/>
        <v>0.26800000000000002</v>
      </c>
      <c r="H65" s="3">
        <f t="shared" si="4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 s="31">
        <f t="shared" si="2"/>
        <v>50000000</v>
      </c>
    </row>
    <row r="66" spans="1:19" x14ac:dyDescent="0.25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5">F66/10^9</f>
        <v>0.66900000000000004</v>
      </c>
      <c r="H66" s="3">
        <f t="shared" ref="H66:H97" si="6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 s="31">
        <f t="shared" si="2"/>
        <v>50000000</v>
      </c>
    </row>
    <row r="67" spans="1:19" x14ac:dyDescent="0.25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5"/>
        <v>2.63</v>
      </c>
      <c r="H67" s="3">
        <f t="shared" si="6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 s="31">
        <f t="shared" ref="S67:S130" si="7">50*10^6</f>
        <v>50000000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5"/>
        <v>3.24</v>
      </c>
      <c r="H68" s="3">
        <f t="shared" si="6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 s="31">
        <f t="shared" si="7"/>
        <v>50000000</v>
      </c>
    </row>
    <row r="69" spans="1:19" x14ac:dyDescent="0.25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5"/>
        <v>1.1499999999999999</v>
      </c>
      <c r="H69" s="3">
        <f t="shared" si="6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 s="31">
        <f t="shared" si="7"/>
        <v>50000000</v>
      </c>
    </row>
    <row r="70" spans="1:19" x14ac:dyDescent="0.25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5"/>
        <v>0.23699999999999999</v>
      </c>
      <c r="H70" s="3">
        <f t="shared" si="6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 s="31">
        <f t="shared" si="7"/>
        <v>50000000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5"/>
        <v>0.69899999999999995</v>
      </c>
      <c r="H71" s="3">
        <f t="shared" si="6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 s="31">
        <f t="shared" si="7"/>
        <v>50000000</v>
      </c>
    </row>
    <row r="72" spans="1:19" x14ac:dyDescent="0.25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5"/>
        <v>0.17100000000000001</v>
      </c>
      <c r="H72" s="3">
        <f t="shared" si="6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 s="31">
        <f t="shared" si="7"/>
        <v>50000000</v>
      </c>
    </row>
    <row r="73" spans="1:19" x14ac:dyDescent="0.25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5"/>
        <v>0.378</v>
      </c>
      <c r="H73" s="3">
        <f t="shared" si="6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 s="31">
        <f t="shared" si="7"/>
        <v>50000000</v>
      </c>
    </row>
    <row r="74" spans="1:19" x14ac:dyDescent="0.25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5"/>
        <v>0.158</v>
      </c>
      <c r="H74" s="3">
        <f t="shared" si="6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 s="31">
        <f t="shared" si="7"/>
        <v>50000000</v>
      </c>
    </row>
    <row r="75" spans="1:19" x14ac:dyDescent="0.25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5"/>
        <v>0.56799999999999995</v>
      </c>
      <c r="H75" s="3">
        <f t="shared" si="6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 s="31">
        <f t="shared" si="7"/>
        <v>50000000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5"/>
        <v>0.24299999999999999</v>
      </c>
      <c r="H76" s="3">
        <f t="shared" si="6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 s="31">
        <f t="shared" si="7"/>
        <v>50000000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5"/>
        <v>4.87</v>
      </c>
      <c r="H77" s="3">
        <f t="shared" si="6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 s="31">
        <f t="shared" si="7"/>
        <v>50000000</v>
      </c>
    </row>
    <row r="78" spans="1:19" x14ac:dyDescent="0.25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5"/>
        <v>2</v>
      </c>
      <c r="H78" s="3">
        <f t="shared" si="6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 s="31">
        <f t="shared" si="7"/>
        <v>50000000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5"/>
        <v>1.27</v>
      </c>
      <c r="H79" s="3">
        <f t="shared" si="6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 s="31">
        <f t="shared" si="7"/>
        <v>50000000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5"/>
        <v>0.94899999999999995</v>
      </c>
      <c r="H80" s="3">
        <f t="shared" si="6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 s="31">
        <f t="shared" si="7"/>
        <v>50000000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5"/>
        <v>0.48899999999999999</v>
      </c>
      <c r="H81" s="3">
        <f t="shared" si="6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 s="31">
        <f t="shared" si="7"/>
        <v>50000000</v>
      </c>
    </row>
    <row r="82" spans="1:19" x14ac:dyDescent="0.25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5"/>
        <v>0.39300000000000002</v>
      </c>
      <c r="H82" s="3">
        <f t="shared" si="6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 s="31">
        <f t="shared" si="7"/>
        <v>50000000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5"/>
        <v>4.83</v>
      </c>
      <c r="H83" s="3">
        <f t="shared" si="6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 s="31">
        <f t="shared" si="7"/>
        <v>50000000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5"/>
        <v>0.18099999999999999</v>
      </c>
      <c r="H84" s="3">
        <f t="shared" si="6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 s="31">
        <f t="shared" si="7"/>
        <v>50000000</v>
      </c>
    </row>
    <row r="85" spans="1:19" x14ac:dyDescent="0.25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5"/>
        <v>0.22</v>
      </c>
      <c r="H85" s="3">
        <f t="shared" si="6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 s="31">
        <f t="shared" si="7"/>
        <v>50000000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5"/>
        <v>0.80600000000000005</v>
      </c>
      <c r="H86" s="3">
        <f t="shared" si="6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 s="31">
        <f t="shared" si="7"/>
        <v>50000000</v>
      </c>
    </row>
    <row r="87" spans="1:19" x14ac:dyDescent="0.25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5"/>
        <v>0.32200000000000001</v>
      </c>
      <c r="H87" s="3">
        <f t="shared" si="6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 s="31">
        <f t="shared" si="7"/>
        <v>50000000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5"/>
        <v>0.189</v>
      </c>
      <c r="H88" s="3">
        <f t="shared" si="6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 s="31">
        <f t="shared" si="7"/>
        <v>50000000</v>
      </c>
    </row>
    <row r="89" spans="1:19" x14ac:dyDescent="0.25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5"/>
        <v>0.39800000000000002</v>
      </c>
      <c r="H89" s="3">
        <f t="shared" si="6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 s="31">
        <f t="shared" si="7"/>
        <v>50000000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5"/>
        <v>0.39100000000000001</v>
      </c>
      <c r="H90" s="3">
        <f t="shared" si="6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 s="31">
        <f t="shared" si="7"/>
        <v>50000000</v>
      </c>
    </row>
    <row r="91" spans="1:19" x14ac:dyDescent="0.25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5"/>
        <v>0.30599999999999999</v>
      </c>
      <c r="H91" s="3">
        <f t="shared" si="6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 s="31">
        <f t="shared" si="7"/>
        <v>50000000</v>
      </c>
    </row>
    <row r="92" spans="1:19" x14ac:dyDescent="0.25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5"/>
        <v>0.151</v>
      </c>
      <c r="H92" s="3">
        <f t="shared" si="6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 s="31">
        <f t="shared" si="7"/>
        <v>50000000</v>
      </c>
    </row>
    <row r="93" spans="1:19" x14ac:dyDescent="0.25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5"/>
        <v>0.104</v>
      </c>
      <c r="H93" s="3">
        <f t="shared" si="6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 s="31">
        <f t="shared" si="7"/>
        <v>50000000</v>
      </c>
    </row>
    <row r="94" spans="1:19" x14ac:dyDescent="0.25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5"/>
        <v>0.26100000000000001</v>
      </c>
      <c r="H94" s="3">
        <f t="shared" si="6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 s="31">
        <f t="shared" si="7"/>
        <v>50000000</v>
      </c>
    </row>
    <row r="95" spans="1:19" x14ac:dyDescent="0.25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5"/>
        <v>0.36599999999999999</v>
      </c>
      <c r="H95" s="3">
        <f t="shared" si="6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 s="31">
        <f t="shared" si="7"/>
        <v>50000000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5"/>
        <v>2.04</v>
      </c>
      <c r="H96" s="3">
        <f t="shared" si="6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 s="31">
        <f t="shared" si="7"/>
        <v>50000000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5"/>
        <v>0.17499999999999999</v>
      </c>
      <c r="H97" s="3">
        <f t="shared" si="6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 s="31">
        <f t="shared" si="7"/>
        <v>50000000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8">F98/10^9</f>
        <v>0.21</v>
      </c>
      <c r="H98" s="3">
        <f t="shared" ref="H98:H129" si="9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 s="31">
        <f t="shared" si="7"/>
        <v>50000000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8"/>
        <v>0.217</v>
      </c>
      <c r="H99" s="3">
        <f t="shared" si="9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 s="31">
        <f t="shared" si="7"/>
        <v>50000000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8"/>
        <v>1.48</v>
      </c>
      <c r="H100" s="3">
        <f t="shared" si="9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 s="31">
        <f t="shared" si="7"/>
        <v>50000000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8"/>
        <v>0.248</v>
      </c>
      <c r="H101" s="3">
        <f t="shared" si="9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 s="31">
        <f t="shared" si="7"/>
        <v>50000000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8"/>
        <v>0.22600000000000001</v>
      </c>
      <c r="H102" s="3">
        <f t="shared" si="9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 s="31">
        <f t="shared" si="7"/>
        <v>50000000</v>
      </c>
    </row>
    <row r="103" spans="1:19" x14ac:dyDescent="0.25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8"/>
        <v>0.41799999999999998</v>
      </c>
      <c r="H103" s="3">
        <f t="shared" si="9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 s="31">
        <f t="shared" si="7"/>
        <v>50000000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8"/>
        <v>1.1299999999999999</v>
      </c>
      <c r="H104" s="3">
        <f t="shared" si="9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 s="31">
        <f t="shared" si="7"/>
        <v>50000000</v>
      </c>
    </row>
    <row r="105" spans="1:19" x14ac:dyDescent="0.25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8"/>
        <v>0.20200000000000001</v>
      </c>
      <c r="H105" s="3">
        <f t="shared" si="9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 s="31">
        <f t="shared" si="7"/>
        <v>50000000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8"/>
        <v>0.46600000000000003</v>
      </c>
      <c r="H106" s="3">
        <f t="shared" si="9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 s="31">
        <f t="shared" si="7"/>
        <v>50000000</v>
      </c>
    </row>
    <row r="107" spans="1:19" x14ac:dyDescent="0.25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8"/>
        <v>2.04</v>
      </c>
      <c r="H107" s="3">
        <f t="shared" si="9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 s="31">
        <f t="shared" si="7"/>
        <v>50000000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8"/>
        <v>0.44400000000000001</v>
      </c>
      <c r="H108" s="3">
        <f t="shared" si="9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 s="31">
        <f t="shared" si="7"/>
        <v>50000000</v>
      </c>
    </row>
    <row r="109" spans="1:19" x14ac:dyDescent="0.25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8"/>
        <v>0.41599999999999998</v>
      </c>
      <c r="H109" s="3">
        <f t="shared" si="9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 s="31">
        <f t="shared" si="7"/>
        <v>50000000</v>
      </c>
    </row>
    <row r="110" spans="1:19" x14ac:dyDescent="0.25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8"/>
        <v>0.193</v>
      </c>
      <c r="H110" s="3">
        <f t="shared" si="9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 s="31">
        <f t="shared" si="7"/>
        <v>50000000</v>
      </c>
    </row>
    <row r="111" spans="1:19" x14ac:dyDescent="0.25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8"/>
        <v>0.17</v>
      </c>
      <c r="H111" s="3">
        <f t="shared" si="9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 s="31">
        <f t="shared" si="7"/>
        <v>50000000</v>
      </c>
    </row>
    <row r="112" spans="1:19" x14ac:dyDescent="0.25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8"/>
        <v>0.64300000000000002</v>
      </c>
      <c r="H112" s="3">
        <f t="shared" si="9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 s="31">
        <f t="shared" si="7"/>
        <v>50000000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8"/>
        <v>0.33300000000000002</v>
      </c>
      <c r="H113" s="3">
        <f t="shared" si="9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 s="31">
        <f t="shared" si="7"/>
        <v>50000000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8"/>
        <v>0.10299999999999999</v>
      </c>
      <c r="H114" s="3">
        <f t="shared" si="9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 s="31">
        <f t="shared" si="7"/>
        <v>50000000</v>
      </c>
    </row>
    <row r="115" spans="1:19" x14ac:dyDescent="0.25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8"/>
        <v>0.872</v>
      </c>
      <c r="H115" s="3">
        <f t="shared" si="9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 s="31">
        <f t="shared" si="7"/>
        <v>50000000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8"/>
        <v>0.29899999999999999</v>
      </c>
      <c r="H116" s="3">
        <f t="shared" si="9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 s="31">
        <f t="shared" si="7"/>
        <v>50000000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8"/>
        <v>0.379</v>
      </c>
      <c r="H117" s="3">
        <f t="shared" si="9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 s="31">
        <f t="shared" si="7"/>
        <v>50000000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8"/>
        <v>0.17699999999999999</v>
      </c>
      <c r="H118" s="3">
        <f t="shared" si="9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 s="31">
        <f t="shared" si="7"/>
        <v>50000000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8"/>
        <v>0.12</v>
      </c>
      <c r="H119" s="3">
        <f t="shared" si="9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 s="31">
        <f t="shared" si="7"/>
        <v>50000000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8"/>
        <v>2.37</v>
      </c>
      <c r="H120" s="3">
        <f t="shared" si="9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 s="31">
        <f t="shared" si="7"/>
        <v>50000000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8"/>
        <v>0.26300000000000001</v>
      </c>
      <c r="H121" s="3">
        <f t="shared" si="9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 s="31">
        <f t="shared" si="7"/>
        <v>50000000</v>
      </c>
    </row>
    <row r="122" spans="1:19" x14ac:dyDescent="0.25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8"/>
        <v>0.42199999999999999</v>
      </c>
      <c r="H122" s="3">
        <f t="shared" si="9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 s="31">
        <f t="shared" si="7"/>
        <v>50000000</v>
      </c>
    </row>
    <row r="123" spans="1:19" x14ac:dyDescent="0.25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8"/>
        <v>1.56</v>
      </c>
      <c r="H123" s="3">
        <f t="shared" si="9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 s="31">
        <f t="shared" si="7"/>
        <v>50000000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8"/>
        <v>1.08</v>
      </c>
      <c r="H124" s="3">
        <f t="shared" si="9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 s="31">
        <f t="shared" si="7"/>
        <v>50000000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8"/>
        <v>0.33100000000000002</v>
      </c>
      <c r="H125" s="3">
        <f t="shared" si="9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 s="31">
        <f t="shared" si="7"/>
        <v>50000000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8"/>
        <v>2.29</v>
      </c>
      <c r="H126" s="3">
        <f t="shared" si="9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 s="31">
        <f t="shared" si="7"/>
        <v>50000000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8"/>
        <v>1.82</v>
      </c>
      <c r="H127" s="3">
        <f t="shared" si="9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 s="31">
        <f t="shared" si="7"/>
        <v>50000000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8"/>
        <v>0.16800000000000001</v>
      </c>
      <c r="H128" s="3">
        <f t="shared" si="9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 s="31">
        <f t="shared" si="7"/>
        <v>50000000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8"/>
        <v>0.26700000000000002</v>
      </c>
      <c r="H129" s="3">
        <f t="shared" si="9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 s="31">
        <f t="shared" si="7"/>
        <v>50000000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10">F130/10^9</f>
        <v>2.98</v>
      </c>
      <c r="H130" s="3">
        <f t="shared" ref="H130:H161" si="11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 s="31">
        <f t="shared" si="7"/>
        <v>50000000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10"/>
        <v>1.39</v>
      </c>
      <c r="H131" s="3">
        <f t="shared" si="11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 s="31">
        <f t="shared" ref="S131:S167" si="12">50*10^6</f>
        <v>50000000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10"/>
        <v>0.29699999999999999</v>
      </c>
      <c r="H132" s="3">
        <f t="shared" si="11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 s="31">
        <f t="shared" si="12"/>
        <v>50000000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10"/>
        <v>0.222</v>
      </c>
      <c r="H133" s="3">
        <f t="shared" si="11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 s="31">
        <f t="shared" si="12"/>
        <v>50000000</v>
      </c>
    </row>
    <row r="134" spans="1:19" x14ac:dyDescent="0.25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10"/>
        <v>0.20499999999999999</v>
      </c>
      <c r="H134" s="3">
        <f t="shared" si="11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 s="31">
        <f t="shared" si="12"/>
        <v>50000000</v>
      </c>
    </row>
    <row r="135" spans="1:19" x14ac:dyDescent="0.25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10"/>
        <v>0.16200000000000001</v>
      </c>
      <c r="H135" s="3">
        <f t="shared" si="11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 s="31">
        <f t="shared" si="12"/>
        <v>50000000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10"/>
        <v>0.122</v>
      </c>
      <c r="H136" s="3">
        <f t="shared" si="11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 s="31">
        <f t="shared" si="12"/>
        <v>50000000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10"/>
        <v>0.106</v>
      </c>
      <c r="H137" s="3">
        <f t="shared" si="11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 s="31">
        <f t="shared" si="12"/>
        <v>50000000</v>
      </c>
    </row>
    <row r="138" spans="1:19" x14ac:dyDescent="0.25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10"/>
        <v>0.36399999999999999</v>
      </c>
      <c r="H138" s="3">
        <f t="shared" si="11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 s="31">
        <f t="shared" si="12"/>
        <v>50000000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10"/>
        <v>0.14499999999999999</v>
      </c>
      <c r="H139" s="3">
        <f t="shared" si="11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 s="31">
        <f t="shared" si="12"/>
        <v>50000000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10"/>
        <v>0.20200000000000001</v>
      </c>
      <c r="H140" s="3">
        <f t="shared" si="11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 s="31">
        <f t="shared" si="12"/>
        <v>50000000</v>
      </c>
    </row>
    <row r="141" spans="1:19" x14ac:dyDescent="0.25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10"/>
        <v>4.0199999999999996</v>
      </c>
      <c r="H141" s="3">
        <f t="shared" si="11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 s="31">
        <f t="shared" si="12"/>
        <v>50000000</v>
      </c>
    </row>
    <row r="142" spans="1:19" x14ac:dyDescent="0.25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10"/>
        <v>0.36499999999999999</v>
      </c>
      <c r="H142" s="3">
        <f t="shared" si="11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 s="31">
        <f t="shared" si="12"/>
        <v>50000000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10"/>
        <v>0.11</v>
      </c>
      <c r="H143" s="3">
        <f t="shared" si="11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 s="31">
        <f t="shared" si="12"/>
        <v>50000000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10"/>
        <v>0.19600000000000001</v>
      </c>
      <c r="H144" s="3">
        <f t="shared" si="11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 s="31">
        <f t="shared" si="12"/>
        <v>50000000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10"/>
        <v>0.20399999999999999</v>
      </c>
      <c r="H145" s="3">
        <f t="shared" si="11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 s="31">
        <f t="shared" si="12"/>
        <v>50000000</v>
      </c>
    </row>
    <row r="146" spans="1:19" x14ac:dyDescent="0.25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10"/>
        <v>0.29499999999999998</v>
      </c>
      <c r="H146" s="3">
        <f t="shared" si="11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 s="31">
        <f t="shared" si="12"/>
        <v>50000000</v>
      </c>
    </row>
    <row r="147" spans="1:19" x14ac:dyDescent="0.25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10"/>
        <v>0.214</v>
      </c>
      <c r="H147" s="3">
        <f t="shared" si="11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 s="31">
        <f t="shared" si="12"/>
        <v>50000000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10"/>
        <v>0.28199999999999997</v>
      </c>
      <c r="H148" s="3">
        <f t="shared" si="11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 s="31">
        <f t="shared" si="12"/>
        <v>50000000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10"/>
        <v>0.14199999999999999</v>
      </c>
      <c r="H149" s="3">
        <f t="shared" si="11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 s="31">
        <f t="shared" si="12"/>
        <v>50000000</v>
      </c>
    </row>
    <row r="150" spans="1:19" x14ac:dyDescent="0.25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10"/>
        <v>0.45800000000000002</v>
      </c>
      <c r="H150" s="3">
        <f t="shared" si="11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 s="31">
        <f t="shared" si="12"/>
        <v>50000000</v>
      </c>
    </row>
    <row r="151" spans="1:19" x14ac:dyDescent="0.25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10"/>
        <v>0.19700000000000001</v>
      </c>
      <c r="H151" s="3">
        <f t="shared" si="11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 s="31">
        <f t="shared" si="12"/>
        <v>50000000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10"/>
        <v>0.26200000000000001</v>
      </c>
      <c r="H152" s="3">
        <f t="shared" si="11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 s="31">
        <f t="shared" si="12"/>
        <v>50000000</v>
      </c>
    </row>
    <row r="153" spans="1:19" x14ac:dyDescent="0.25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10"/>
        <v>0.123</v>
      </c>
      <c r="H153" s="3">
        <f t="shared" si="11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 s="31">
        <f t="shared" si="12"/>
        <v>50000000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10"/>
        <v>0.126</v>
      </c>
      <c r="H154" s="3">
        <f t="shared" si="11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 s="31">
        <f t="shared" si="12"/>
        <v>50000000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10"/>
        <v>0.25800000000000001</v>
      </c>
      <c r="H155" s="3">
        <f t="shared" si="11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 s="31">
        <f t="shared" si="12"/>
        <v>50000000</v>
      </c>
    </row>
    <row r="156" spans="1:19" x14ac:dyDescent="0.25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10"/>
        <v>0.183</v>
      </c>
      <c r="H156" s="3">
        <f t="shared" si="11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 s="31">
        <f t="shared" si="12"/>
        <v>50000000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10"/>
        <v>0.33500000000000002</v>
      </c>
      <c r="H157" s="3">
        <f t="shared" si="11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 s="31">
        <f t="shared" si="12"/>
        <v>50000000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10"/>
        <v>0.17499999999999999</v>
      </c>
      <c r="H158" s="3">
        <f t="shared" si="11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 s="31">
        <f t="shared" si="12"/>
        <v>50000000</v>
      </c>
    </row>
    <row r="159" spans="1:19" x14ac:dyDescent="0.25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10"/>
        <v>0.26500000000000001</v>
      </c>
      <c r="H159" s="3">
        <f t="shared" si="11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 s="31">
        <f t="shared" si="12"/>
        <v>50000000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10"/>
        <v>1.91</v>
      </c>
      <c r="H160" s="3">
        <f t="shared" si="11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 s="31">
        <f t="shared" si="12"/>
        <v>50000000</v>
      </c>
    </row>
    <row r="161" spans="1:19" x14ac:dyDescent="0.25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10"/>
        <v>0.317</v>
      </c>
      <c r="H161" s="3">
        <f t="shared" si="11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 s="31">
        <f t="shared" si="12"/>
        <v>50000000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3">F162/10^9</f>
        <v>0.10299999999999999</v>
      </c>
      <c r="H162" s="3">
        <f t="shared" ref="H162:H167" si="14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 s="31">
        <f t="shared" si="12"/>
        <v>50000000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3"/>
        <v>0.10100000000000001</v>
      </c>
      <c r="H163" s="3">
        <f t="shared" si="14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 s="31">
        <f t="shared" si="12"/>
        <v>50000000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3"/>
        <v>0.221</v>
      </c>
      <c r="H164" s="3">
        <f t="shared" si="14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 s="31">
        <f t="shared" si="12"/>
        <v>50000000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3"/>
        <v>0.42399999999999999</v>
      </c>
      <c r="H165" s="3">
        <f t="shared" si="14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 s="31">
        <f t="shared" si="12"/>
        <v>50000000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3"/>
        <v>0.17599999999999999</v>
      </c>
      <c r="H166" s="3">
        <f t="shared" si="14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 s="31">
        <f t="shared" si="12"/>
        <v>50000000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3"/>
        <v>0.105</v>
      </c>
      <c r="H167" s="3">
        <f t="shared" si="14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 s="31">
        <f t="shared" si="12"/>
        <v>50000000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baseColWidth="10"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823</v>
      </c>
      <c r="C1" t="s">
        <v>824</v>
      </c>
      <c r="D1" t="s">
        <v>826</v>
      </c>
      <c r="E1" t="s">
        <v>825</v>
      </c>
    </row>
    <row r="2" spans="1:5" x14ac:dyDescent="0.25">
      <c r="A2">
        <v>96</v>
      </c>
      <c r="B2">
        <v>0.08</v>
      </c>
      <c r="C2">
        <v>20</v>
      </c>
      <c r="D2">
        <v>30</v>
      </c>
      <c r="E2">
        <v>400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12" customWidth="1"/>
    <col min="2" max="2" width="13.85546875" customWidth="1"/>
  </cols>
  <sheetData>
    <row r="1" spans="1:2" x14ac:dyDescent="0.25">
      <c r="A1" t="s">
        <v>4</v>
      </c>
      <c r="B1" t="s">
        <v>856</v>
      </c>
    </row>
    <row r="2" spans="1:2" x14ac:dyDescent="0.25">
      <c r="A2" t="s">
        <v>29</v>
      </c>
      <c r="B2">
        <v>48</v>
      </c>
    </row>
    <row r="3" spans="1:2" x14ac:dyDescent="0.25">
      <c r="A3" t="s">
        <v>8</v>
      </c>
      <c r="B3">
        <v>46.4</v>
      </c>
    </row>
    <row r="4" spans="1:2" x14ac:dyDescent="0.25">
      <c r="A4" t="s">
        <v>831</v>
      </c>
      <c r="B4">
        <v>42.8</v>
      </c>
    </row>
    <row r="5" spans="1:2" x14ac:dyDescent="0.25">
      <c r="A5" t="s">
        <v>896</v>
      </c>
      <c r="B5">
        <v>19.899999999999999</v>
      </c>
    </row>
    <row r="6" spans="1:2" x14ac:dyDescent="0.25">
      <c r="A6" t="s">
        <v>861</v>
      </c>
      <c r="B6">
        <v>50</v>
      </c>
    </row>
    <row r="7" spans="1:2" x14ac:dyDescent="0.25">
      <c r="A7" t="s">
        <v>897</v>
      </c>
      <c r="B7">
        <v>27.6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abSelected="1" workbookViewId="0">
      <selection activeCell="D39" sqref="D39"/>
    </sheetView>
  </sheetViews>
  <sheetFormatPr baseColWidth="10" defaultColWidth="9.140625" defaultRowHeight="15" x14ac:dyDescent="0.25"/>
  <cols>
    <col min="1" max="1" width="11.28515625" style="31" bestFit="1" customWidth="1"/>
    <col min="2" max="2" width="6.42578125" style="31" bestFit="1" customWidth="1"/>
    <col min="3" max="3" width="5.7109375" style="31" bestFit="1" customWidth="1"/>
    <col min="4" max="4" width="7.85546875" style="31" bestFit="1" customWidth="1"/>
    <col min="5" max="5" width="7.85546875" style="31" customWidth="1"/>
    <col min="6" max="6" width="11.85546875" style="31" customWidth="1"/>
    <col min="7" max="7" width="21.42578125" style="31" customWidth="1"/>
    <col min="8" max="8" width="11.85546875" style="31" customWidth="1"/>
    <col min="9" max="9" width="5" style="31" customWidth="1"/>
    <col min="10" max="10" width="4.7109375" style="31" customWidth="1"/>
    <col min="11" max="11" width="9.42578125" style="31" bestFit="1" customWidth="1"/>
    <col min="12" max="16" width="9.42578125" style="31" customWidth="1"/>
    <col min="17" max="17" width="8.42578125" style="31" bestFit="1" customWidth="1"/>
    <col min="18" max="18" width="7.7109375" style="31" bestFit="1" customWidth="1"/>
    <col min="19" max="19" width="9.28515625" style="31" bestFit="1" customWidth="1"/>
    <col min="20" max="20" width="7.7109375" style="31" bestFit="1" customWidth="1"/>
    <col min="21" max="21" width="9.28515625" style="31" bestFit="1" customWidth="1"/>
    <col min="22" max="22" width="7.7109375" style="31" bestFit="1" customWidth="1"/>
    <col min="23" max="23" width="6.140625" style="31" bestFit="1" customWidth="1"/>
    <col min="24" max="24" width="7.7109375" style="31" bestFit="1" customWidth="1"/>
    <col min="25" max="25" width="6.140625" style="31" bestFit="1" customWidth="1"/>
    <col min="26" max="26" width="7.7109375" style="31" bestFit="1" customWidth="1"/>
    <col min="27" max="27" width="6.140625" style="31" bestFit="1" customWidth="1"/>
    <col min="28" max="28" width="7.7109375" style="31" bestFit="1" customWidth="1"/>
    <col min="29" max="16384" width="9.140625" style="31"/>
  </cols>
  <sheetData>
    <row r="1" spans="1:23" x14ac:dyDescent="0.25">
      <c r="A1" s="41" t="s">
        <v>887</v>
      </c>
    </row>
    <row r="2" spans="1:23" x14ac:dyDescent="0.25">
      <c r="A2" s="31" t="s">
        <v>888</v>
      </c>
    </row>
    <row r="4" spans="1:23" x14ac:dyDescent="0.25">
      <c r="A4" s="41" t="s">
        <v>889</v>
      </c>
      <c r="U4" s="33"/>
    </row>
    <row r="5" spans="1:23" x14ac:dyDescent="0.25">
      <c r="A5" s="31" t="s">
        <v>0</v>
      </c>
      <c r="B5" s="31" t="s">
        <v>12</v>
      </c>
      <c r="C5" s="31" t="s">
        <v>13</v>
      </c>
      <c r="D5" s="31" t="s">
        <v>4</v>
      </c>
      <c r="E5" s="31" t="s">
        <v>15</v>
      </c>
      <c r="F5" s="31" t="s">
        <v>854</v>
      </c>
      <c r="G5" s="31" t="s">
        <v>855</v>
      </c>
    </row>
    <row r="6" spans="1:23" x14ac:dyDescent="0.25">
      <c r="A6" s="31" t="s">
        <v>27</v>
      </c>
      <c r="B6" s="31">
        <v>0</v>
      </c>
      <c r="C6" s="31">
        <v>0</v>
      </c>
      <c r="D6" s="31" t="s">
        <v>27</v>
      </c>
      <c r="E6" s="47">
        <v>858</v>
      </c>
      <c r="F6" s="31">
        <v>320</v>
      </c>
      <c r="G6" s="31">
        <v>250</v>
      </c>
    </row>
    <row r="7" spans="1:23" x14ac:dyDescent="0.25">
      <c r="A7" s="31" t="s">
        <v>54</v>
      </c>
      <c r="B7" s="31">
        <v>0</v>
      </c>
      <c r="C7" s="31">
        <v>0</v>
      </c>
      <c r="D7" s="31" t="s">
        <v>28</v>
      </c>
      <c r="E7" s="47">
        <v>7.5</v>
      </c>
      <c r="F7" s="31">
        <v>320</v>
      </c>
      <c r="G7" s="31">
        <v>200</v>
      </c>
    </row>
    <row r="8" spans="1:23" x14ac:dyDescent="0.25">
      <c r="A8" s="31" t="s">
        <v>55</v>
      </c>
      <c r="B8" s="31">
        <v>0</v>
      </c>
      <c r="C8" s="31">
        <v>0</v>
      </c>
      <c r="D8" s="31" t="s">
        <v>28</v>
      </c>
      <c r="E8" s="47">
        <v>24.2</v>
      </c>
      <c r="F8" s="31">
        <v>320</v>
      </c>
      <c r="G8" s="31">
        <v>150</v>
      </c>
    </row>
    <row r="9" spans="1:23" x14ac:dyDescent="0.25">
      <c r="A9" s="31" t="s">
        <v>56</v>
      </c>
      <c r="B9" s="31">
        <v>0</v>
      </c>
      <c r="C9" s="31">
        <v>0</v>
      </c>
      <c r="D9" s="31" t="s">
        <v>28</v>
      </c>
      <c r="E9" s="47">
        <v>130.30000000000001</v>
      </c>
      <c r="F9" s="31">
        <v>320</v>
      </c>
      <c r="G9" s="31">
        <v>100</v>
      </c>
    </row>
    <row r="10" spans="1:23" x14ac:dyDescent="0.25">
      <c r="A10" s="31" t="s">
        <v>57</v>
      </c>
      <c r="B10" s="31">
        <v>0</v>
      </c>
      <c r="C10" s="31">
        <v>0</v>
      </c>
      <c r="D10" s="31" t="s">
        <v>28</v>
      </c>
      <c r="E10" s="47">
        <v>414.5</v>
      </c>
      <c r="F10" s="31">
        <v>320</v>
      </c>
      <c r="G10" s="31">
        <v>50</v>
      </c>
    </row>
    <row r="11" spans="1:23" x14ac:dyDescent="0.25">
      <c r="A11" s="31" t="s">
        <v>831</v>
      </c>
      <c r="B11" s="31">
        <v>0</v>
      </c>
      <c r="C11" s="31">
        <v>0</v>
      </c>
      <c r="D11" s="31" t="s">
        <v>831</v>
      </c>
      <c r="E11" s="47">
        <v>121</v>
      </c>
      <c r="F11" s="31">
        <v>320</v>
      </c>
      <c r="G11" s="31">
        <v>0</v>
      </c>
      <c r="U11" s="33"/>
      <c r="W11" s="33"/>
    </row>
    <row r="14" spans="1:23" x14ac:dyDescent="0.25">
      <c r="A14" s="41" t="s">
        <v>890</v>
      </c>
    </row>
    <row r="15" spans="1:23" x14ac:dyDescent="0.25">
      <c r="A15" s="31" t="s">
        <v>0</v>
      </c>
      <c r="B15" s="34" t="s">
        <v>12</v>
      </c>
      <c r="C15" s="36" t="s">
        <v>13</v>
      </c>
      <c r="D15" s="31" t="s">
        <v>1</v>
      </c>
      <c r="E15" s="34" t="s">
        <v>64</v>
      </c>
      <c r="F15" s="31" t="s">
        <v>65</v>
      </c>
      <c r="G15" s="34" t="s">
        <v>857</v>
      </c>
      <c r="H15" s="31" t="s">
        <v>827</v>
      </c>
      <c r="I15" s="34" t="s">
        <v>854</v>
      </c>
      <c r="J15" s="35" t="s">
        <v>855</v>
      </c>
      <c r="K15" s="34" t="s">
        <v>21</v>
      </c>
      <c r="L15" s="31" t="s">
        <v>24</v>
      </c>
      <c r="M15" s="31" t="s">
        <v>25</v>
      </c>
      <c r="N15" s="31" t="s">
        <v>26</v>
      </c>
      <c r="O15" s="34" t="s">
        <v>16</v>
      </c>
      <c r="P15" s="31" t="s">
        <v>17</v>
      </c>
      <c r="Q15" s="31" t="s">
        <v>2</v>
      </c>
      <c r="R15" s="31" t="s">
        <v>3</v>
      </c>
      <c r="S15" s="31" t="s">
        <v>42</v>
      </c>
      <c r="T15" s="31" t="s">
        <v>43</v>
      </c>
    </row>
    <row r="16" spans="1:23" x14ac:dyDescent="0.25">
      <c r="A16" s="31" t="s">
        <v>9</v>
      </c>
      <c r="B16" s="34">
        <v>0</v>
      </c>
      <c r="C16" s="36">
        <v>0</v>
      </c>
      <c r="D16" s="33">
        <v>0.93</v>
      </c>
      <c r="E16" s="37">
        <v>0</v>
      </c>
      <c r="F16" s="28">
        <v>999999</v>
      </c>
      <c r="G16" s="37">
        <v>0</v>
      </c>
      <c r="H16" s="28">
        <v>0</v>
      </c>
      <c r="I16" s="37">
        <v>80</v>
      </c>
      <c r="J16" s="38">
        <v>300</v>
      </c>
      <c r="K16" s="34" t="s">
        <v>10</v>
      </c>
      <c r="L16" s="31">
        <v>1</v>
      </c>
      <c r="O16" s="34" t="s">
        <v>8</v>
      </c>
      <c r="P16" s="31">
        <v>0.27956989247311831</v>
      </c>
      <c r="Q16" s="31" t="s">
        <v>29</v>
      </c>
      <c r="R16" s="31">
        <v>0.58064516129032262</v>
      </c>
      <c r="S16" s="31" t="s">
        <v>831</v>
      </c>
      <c r="T16" s="31">
        <v>0.13978494623655915</v>
      </c>
    </row>
    <row r="17" spans="1:20" x14ac:dyDescent="0.25">
      <c r="A17" s="31" t="s">
        <v>832</v>
      </c>
      <c r="B17" s="34">
        <v>0</v>
      </c>
      <c r="C17" s="36">
        <v>0</v>
      </c>
      <c r="D17" s="33">
        <v>0.93</v>
      </c>
      <c r="E17" s="34">
        <v>0</v>
      </c>
      <c r="F17" s="31">
        <v>999999</v>
      </c>
      <c r="G17" s="34">
        <v>0</v>
      </c>
      <c r="H17" s="28">
        <v>0</v>
      </c>
      <c r="I17" s="37">
        <v>80</v>
      </c>
      <c r="J17" s="38">
        <v>250</v>
      </c>
      <c r="K17" s="34" t="s">
        <v>10</v>
      </c>
      <c r="L17" s="31">
        <v>1</v>
      </c>
      <c r="O17" s="34" t="s">
        <v>8</v>
      </c>
      <c r="P17" s="31">
        <v>0.32520325203252037</v>
      </c>
      <c r="Q17" s="31" t="s">
        <v>29</v>
      </c>
      <c r="R17" s="31">
        <v>0.67479674796747968</v>
      </c>
    </row>
    <row r="18" spans="1:20" x14ac:dyDescent="0.25">
      <c r="A18" s="31" t="s">
        <v>860</v>
      </c>
      <c r="B18" s="34">
        <v>0</v>
      </c>
      <c r="C18" s="36">
        <v>0</v>
      </c>
      <c r="D18" s="33">
        <f>53.4/(53.6+0.93)</f>
        <v>0.97927746194755172</v>
      </c>
      <c r="E18" s="34">
        <v>0</v>
      </c>
      <c r="F18" s="31">
        <v>999999</v>
      </c>
      <c r="G18" s="34">
        <v>0</v>
      </c>
      <c r="H18" s="31">
        <v>0</v>
      </c>
      <c r="I18" s="34">
        <v>80</v>
      </c>
      <c r="J18" s="38">
        <v>225</v>
      </c>
      <c r="K18" s="34" t="s">
        <v>859</v>
      </c>
      <c r="L18" s="31">
        <v>1</v>
      </c>
      <c r="O18" s="34" t="s">
        <v>861</v>
      </c>
      <c r="P18" s="31">
        <v>1</v>
      </c>
    </row>
    <row r="19" spans="1:20" x14ac:dyDescent="0.25">
      <c r="A19" s="31" t="s">
        <v>31</v>
      </c>
      <c r="B19" s="34">
        <v>0</v>
      </c>
      <c r="C19" s="36">
        <v>0</v>
      </c>
      <c r="D19" s="33">
        <v>0.54</v>
      </c>
      <c r="E19" s="37">
        <v>0</v>
      </c>
      <c r="F19" s="28">
        <v>999999</v>
      </c>
      <c r="G19" s="37">
        <v>0</v>
      </c>
      <c r="H19" s="28">
        <v>0</v>
      </c>
      <c r="I19" s="37">
        <v>80</v>
      </c>
      <c r="J19" s="38">
        <v>150</v>
      </c>
      <c r="K19" s="34" t="s">
        <v>19</v>
      </c>
      <c r="L19" s="31">
        <v>1</v>
      </c>
      <c r="O19" s="34" t="s">
        <v>29</v>
      </c>
      <c r="P19" s="31">
        <v>1</v>
      </c>
    </row>
    <row r="20" spans="1:20" x14ac:dyDescent="0.25">
      <c r="A20" s="31" t="s">
        <v>30</v>
      </c>
      <c r="B20" s="34">
        <v>0</v>
      </c>
      <c r="C20" s="36">
        <v>0</v>
      </c>
      <c r="D20" s="33">
        <v>0.54</v>
      </c>
      <c r="E20" s="37">
        <v>0</v>
      </c>
      <c r="F20" s="28">
        <v>999999</v>
      </c>
      <c r="G20" s="37">
        <v>0</v>
      </c>
      <c r="H20" s="28">
        <v>0</v>
      </c>
      <c r="I20" s="37">
        <v>80</v>
      </c>
      <c r="J20" s="38">
        <v>200</v>
      </c>
      <c r="K20" s="34" t="s">
        <v>19</v>
      </c>
      <c r="L20" s="31">
        <v>1</v>
      </c>
      <c r="O20" s="34" t="s">
        <v>8</v>
      </c>
      <c r="P20" s="31">
        <v>1</v>
      </c>
    </row>
    <row r="21" spans="1:20" x14ac:dyDescent="0.25">
      <c r="A21" s="31" t="s">
        <v>862</v>
      </c>
      <c r="B21" s="34">
        <v>0</v>
      </c>
      <c r="C21" s="36">
        <v>0</v>
      </c>
      <c r="D21" s="33">
        <v>0.52800000000000002</v>
      </c>
      <c r="E21" s="37">
        <v>0</v>
      </c>
      <c r="F21" s="28">
        <v>999999</v>
      </c>
      <c r="G21" s="37">
        <v>0</v>
      </c>
      <c r="H21" s="28">
        <v>0</v>
      </c>
      <c r="I21" s="37">
        <v>80</v>
      </c>
      <c r="J21" s="38">
        <v>175</v>
      </c>
      <c r="K21" s="34" t="s">
        <v>19</v>
      </c>
      <c r="L21" s="31">
        <v>1</v>
      </c>
      <c r="O21" s="34" t="s">
        <v>861</v>
      </c>
      <c r="P21" s="31">
        <v>1</v>
      </c>
    </row>
    <row r="22" spans="1:20" x14ac:dyDescent="0.25">
      <c r="A22" s="31" t="s">
        <v>899</v>
      </c>
      <c r="B22" s="34">
        <v>0</v>
      </c>
      <c r="C22" s="36">
        <v>0</v>
      </c>
      <c r="D22" s="33">
        <f>0.66*(1328/1574)</f>
        <v>0.55684879288437106</v>
      </c>
      <c r="E22" s="37">
        <v>0</v>
      </c>
      <c r="F22" s="44">
        <v>50</v>
      </c>
      <c r="G22" s="37">
        <v>0</v>
      </c>
      <c r="H22" s="44">
        <v>0</v>
      </c>
      <c r="I22" s="45"/>
      <c r="J22" s="46"/>
      <c r="K22" s="34" t="s">
        <v>19</v>
      </c>
      <c r="L22" s="31">
        <v>1</v>
      </c>
      <c r="O22" s="34" t="s">
        <v>8</v>
      </c>
      <c r="P22" s="31">
        <v>1</v>
      </c>
    </row>
    <row r="23" spans="1:20" x14ac:dyDescent="0.25">
      <c r="A23" s="31" t="s">
        <v>900</v>
      </c>
      <c r="B23" s="34">
        <v>0</v>
      </c>
      <c r="C23" s="36">
        <v>0</v>
      </c>
      <c r="D23" s="33">
        <f>0.66*(638/767)</f>
        <v>0.54899608865710559</v>
      </c>
      <c r="E23" s="37">
        <v>0</v>
      </c>
      <c r="F23" s="44">
        <v>50</v>
      </c>
      <c r="G23" s="37">
        <v>0</v>
      </c>
      <c r="H23" s="44">
        <v>0</v>
      </c>
      <c r="I23" s="45"/>
      <c r="J23" s="46"/>
      <c r="K23" s="34" t="s">
        <v>19</v>
      </c>
      <c r="L23" s="31">
        <v>1</v>
      </c>
      <c r="O23" s="34" t="s">
        <v>29</v>
      </c>
      <c r="P23" s="31">
        <v>1</v>
      </c>
    </row>
    <row r="24" spans="1:20" x14ac:dyDescent="0.25">
      <c r="A24" s="31" t="s">
        <v>11</v>
      </c>
      <c r="B24" s="34">
        <v>0</v>
      </c>
      <c r="C24" s="36">
        <v>0</v>
      </c>
      <c r="D24" s="33">
        <f>650/(746+59.3)</f>
        <v>0.80715261393269588</v>
      </c>
      <c r="E24" s="37">
        <v>0</v>
      </c>
      <c r="F24" s="28">
        <v>999999</v>
      </c>
      <c r="G24" s="37">
        <v>43.1</v>
      </c>
      <c r="H24" s="33">
        <f>44/650</f>
        <v>6.7692307692307691E-2</v>
      </c>
      <c r="I24" s="37">
        <v>80</v>
      </c>
      <c r="J24" s="38">
        <v>100</v>
      </c>
      <c r="K24" s="34" t="s">
        <v>7</v>
      </c>
      <c r="L24" s="33">
        <f>746/(746+59.3)</f>
        <v>0.92636284614429409</v>
      </c>
      <c r="M24" s="31" t="s">
        <v>830</v>
      </c>
      <c r="N24" s="33">
        <f>1-L24</f>
        <v>7.3637153855705906E-2</v>
      </c>
      <c r="O24" s="34" t="s">
        <v>8</v>
      </c>
      <c r="P24" s="31">
        <v>1</v>
      </c>
    </row>
    <row r="25" spans="1:20" x14ac:dyDescent="0.25">
      <c r="A25" s="31" t="s">
        <v>833</v>
      </c>
      <c r="B25" s="34">
        <v>0</v>
      </c>
      <c r="C25" s="36">
        <v>0</v>
      </c>
      <c r="D25" s="33">
        <f>(8.9+19.9)/(34.2+3.5)</f>
        <v>0.76392572944297066</v>
      </c>
      <c r="E25" s="37">
        <v>0</v>
      </c>
      <c r="F25" s="28">
        <v>999999</v>
      </c>
      <c r="G25" s="37">
        <v>43.1</v>
      </c>
      <c r="H25" s="33">
        <f>3.88/(8.9+19.9)</f>
        <v>0.13472222222222224</v>
      </c>
      <c r="I25" s="37">
        <v>80</v>
      </c>
      <c r="J25" s="38">
        <v>50</v>
      </c>
      <c r="K25" s="34" t="s">
        <v>7</v>
      </c>
      <c r="L25" s="33">
        <f>34.2/(34.2+3.5)</f>
        <v>0.90716180371352784</v>
      </c>
      <c r="M25" s="31" t="s">
        <v>830</v>
      </c>
      <c r="N25" s="33">
        <f t="shared" ref="N25:N29" si="0">1-L25</f>
        <v>9.2838196286472163E-2</v>
      </c>
      <c r="O25" s="34" t="s">
        <v>8</v>
      </c>
      <c r="P25" s="33">
        <f>8.9/(8.9+19.9)</f>
        <v>0.30902777777777785</v>
      </c>
      <c r="Q25" s="31" t="s">
        <v>29</v>
      </c>
      <c r="R25" s="33">
        <v>0.6909722222222221</v>
      </c>
    </row>
    <row r="26" spans="1:20" x14ac:dyDescent="0.25">
      <c r="A26" s="31" t="s">
        <v>834</v>
      </c>
      <c r="B26" s="34">
        <v>0</v>
      </c>
      <c r="C26" s="36">
        <v>0</v>
      </c>
      <c r="D26" s="33">
        <f>((14700+43500+1800)/3600*43)/(30600/3600*120)</f>
        <v>0.70261437908496738</v>
      </c>
      <c r="E26" s="37">
        <v>0</v>
      </c>
      <c r="F26" s="28">
        <v>999999</v>
      </c>
      <c r="G26" s="37">
        <v>43.1</v>
      </c>
      <c r="H26" s="33">
        <f>3.88/(8.9+19.9)</f>
        <v>0.13472222222222224</v>
      </c>
      <c r="I26" s="37">
        <v>80</v>
      </c>
      <c r="J26" s="38">
        <v>0</v>
      </c>
      <c r="K26" s="34" t="s">
        <v>7</v>
      </c>
      <c r="L26" s="33">
        <f>34.2/(34.2+3.5)</f>
        <v>0.90716180371352784</v>
      </c>
      <c r="M26" s="31" t="s">
        <v>830</v>
      </c>
      <c r="N26" s="33">
        <f t="shared" si="0"/>
        <v>9.2838196286472163E-2</v>
      </c>
      <c r="O26" s="34" t="s">
        <v>8</v>
      </c>
      <c r="P26" s="33">
        <f>14.7/(14.7+1.8+43.5)</f>
        <v>0.245</v>
      </c>
      <c r="Q26" s="31" t="s">
        <v>29</v>
      </c>
      <c r="R26" s="33">
        <f>1.8/(14.7+1.8+43.5)</f>
        <v>3.0000000000000002E-2</v>
      </c>
      <c r="S26" s="31" t="s">
        <v>831</v>
      </c>
      <c r="T26" s="33">
        <f>1-P26-R26</f>
        <v>0.72499999999999998</v>
      </c>
    </row>
    <row r="27" spans="1:20" x14ac:dyDescent="0.25">
      <c r="A27" s="31" t="s">
        <v>863</v>
      </c>
      <c r="B27" s="34">
        <v>0</v>
      </c>
      <c r="C27" s="36">
        <v>0</v>
      </c>
      <c r="D27" s="33">
        <f>12.54/(15.08+0.35)</f>
        <v>0.81270252754374595</v>
      </c>
      <c r="E27" s="37">
        <v>0</v>
      </c>
      <c r="F27" s="28">
        <v>999999</v>
      </c>
      <c r="G27" s="37">
        <v>43.1</v>
      </c>
      <c r="H27" s="33">
        <f>0.69/12.54</f>
        <v>5.5023923444976079E-2</v>
      </c>
      <c r="I27" s="37">
        <v>80</v>
      </c>
      <c r="J27" s="38">
        <v>125</v>
      </c>
      <c r="K27" s="34" t="s">
        <v>7</v>
      </c>
      <c r="L27" s="33">
        <f>15.08/(15.08+0.35)</f>
        <v>0.97731691510045371</v>
      </c>
      <c r="M27" s="31" t="s">
        <v>830</v>
      </c>
      <c r="N27" s="33">
        <f t="shared" si="0"/>
        <v>2.2683084899546291E-2</v>
      </c>
      <c r="O27" s="34" t="s">
        <v>861</v>
      </c>
      <c r="P27" s="31">
        <v>1</v>
      </c>
    </row>
    <row r="28" spans="1:20" x14ac:dyDescent="0.25">
      <c r="A28" s="31" t="s">
        <v>901</v>
      </c>
      <c r="B28" s="34">
        <v>0</v>
      </c>
      <c r="C28" s="36">
        <v>0</v>
      </c>
      <c r="D28" s="33">
        <f>19.92/(22.55+1.02)</f>
        <v>0.84514212982605008</v>
      </c>
      <c r="E28" s="37">
        <v>0</v>
      </c>
      <c r="F28" s="44">
        <v>50</v>
      </c>
      <c r="G28" s="37">
        <v>19.899999999999999</v>
      </c>
      <c r="H28" s="33">
        <f>1.37/19.9</f>
        <v>6.8844221105527653E-2</v>
      </c>
      <c r="I28" s="45"/>
      <c r="J28" s="46"/>
      <c r="K28" s="34" t="s">
        <v>7</v>
      </c>
      <c r="L28" s="33">
        <f>22.55/(22.55+1.02)</f>
        <v>0.95672464997878659</v>
      </c>
      <c r="M28" s="31" t="s">
        <v>830</v>
      </c>
      <c r="N28" s="33">
        <f>1-L28</f>
        <v>4.327535002121341E-2</v>
      </c>
      <c r="O28" s="34" t="s">
        <v>8</v>
      </c>
      <c r="P28" s="31">
        <v>1</v>
      </c>
    </row>
    <row r="29" spans="1:20" x14ac:dyDescent="0.25">
      <c r="A29" s="31" t="s">
        <v>902</v>
      </c>
      <c r="B29" s="34">
        <v>0</v>
      </c>
      <c r="C29" s="36">
        <v>0</v>
      </c>
      <c r="D29" s="33">
        <f>28.84/(31.67+2.13)</f>
        <v>0.85325443786982236</v>
      </c>
      <c r="E29" s="37">
        <v>0</v>
      </c>
      <c r="F29" s="44">
        <v>50</v>
      </c>
      <c r="G29" s="37">
        <v>28.835000000000001</v>
      </c>
      <c r="H29" s="33">
        <f>1.93/28.84</f>
        <v>6.6920943134535366E-2</v>
      </c>
      <c r="I29" s="45"/>
      <c r="J29" s="46"/>
      <c r="K29" s="34" t="s">
        <v>7</v>
      </c>
      <c r="L29" s="33">
        <f>31.67/(31.67+2.13)</f>
        <v>0.93698224852070999</v>
      </c>
      <c r="M29" s="31" t="s">
        <v>830</v>
      </c>
      <c r="N29" s="33">
        <f>1-L29</f>
        <v>6.3017751479290007E-2</v>
      </c>
      <c r="O29" s="34" t="s">
        <v>29</v>
      </c>
      <c r="P29" s="31">
        <v>1</v>
      </c>
    </row>
    <row r="30" spans="1:20" x14ac:dyDescent="0.25">
      <c r="A30" s="31" t="s">
        <v>50</v>
      </c>
      <c r="B30" s="34">
        <v>0</v>
      </c>
      <c r="C30" s="36">
        <v>0</v>
      </c>
      <c r="D30" s="49">
        <f>1.5/1.9</f>
        <v>0.78947368421052633</v>
      </c>
      <c r="E30" s="37">
        <v>0</v>
      </c>
      <c r="F30" s="28">
        <v>400</v>
      </c>
      <c r="G30" s="37">
        <v>0</v>
      </c>
      <c r="H30" s="28">
        <v>0</v>
      </c>
      <c r="I30" s="37">
        <v>240</v>
      </c>
      <c r="J30" s="38">
        <v>300</v>
      </c>
      <c r="K30" s="34" t="s">
        <v>8</v>
      </c>
      <c r="L30" s="31">
        <v>1</v>
      </c>
      <c r="O30" s="34" t="s">
        <v>27</v>
      </c>
      <c r="P30" s="31">
        <v>1</v>
      </c>
    </row>
    <row r="31" spans="1:20" x14ac:dyDescent="0.25">
      <c r="A31" s="31" t="s">
        <v>51</v>
      </c>
      <c r="B31" s="34">
        <v>0</v>
      </c>
      <c r="C31" s="36">
        <v>0</v>
      </c>
      <c r="D31" s="49">
        <f>1.5/1.8</f>
        <v>0.83333333333333326</v>
      </c>
      <c r="E31" s="37">
        <v>0</v>
      </c>
      <c r="F31" s="28">
        <v>999999</v>
      </c>
      <c r="G31" s="37">
        <v>0</v>
      </c>
      <c r="H31" s="28">
        <v>0</v>
      </c>
      <c r="I31" s="37">
        <v>240</v>
      </c>
      <c r="J31" s="38">
        <v>250</v>
      </c>
      <c r="K31" s="34" t="s">
        <v>29</v>
      </c>
      <c r="L31" s="31">
        <v>1</v>
      </c>
      <c r="O31" s="34" t="s">
        <v>27</v>
      </c>
      <c r="P31" s="31">
        <v>1</v>
      </c>
    </row>
    <row r="32" spans="1:20" x14ac:dyDescent="0.25">
      <c r="A32" s="31" t="s">
        <v>44</v>
      </c>
      <c r="B32" s="34">
        <v>0</v>
      </c>
      <c r="C32" s="36">
        <v>0</v>
      </c>
      <c r="D32" s="49">
        <f>0.2/2.2</f>
        <v>9.0909090909090912E-2</v>
      </c>
      <c r="E32" s="37">
        <v>0</v>
      </c>
      <c r="F32" s="28">
        <v>999999</v>
      </c>
      <c r="G32" s="37">
        <v>0</v>
      </c>
      <c r="H32" s="28">
        <v>0</v>
      </c>
      <c r="I32" s="37">
        <v>240</v>
      </c>
      <c r="J32" s="38">
        <v>200</v>
      </c>
      <c r="K32" s="34" t="s">
        <v>29</v>
      </c>
      <c r="L32" s="31">
        <v>1</v>
      </c>
      <c r="O32" s="34" t="s">
        <v>28</v>
      </c>
      <c r="P32" s="31">
        <v>1</v>
      </c>
    </row>
    <row r="33" spans="1:16" x14ac:dyDescent="0.25">
      <c r="A33" s="31" t="s">
        <v>45</v>
      </c>
      <c r="B33" s="34">
        <v>0</v>
      </c>
      <c r="C33" s="36">
        <v>0</v>
      </c>
      <c r="D33" s="49">
        <f>2.7/3.9</f>
        <v>0.6923076923076924</v>
      </c>
      <c r="E33" s="37">
        <v>0</v>
      </c>
      <c r="F33" s="28">
        <v>999999</v>
      </c>
      <c r="G33" s="37">
        <v>0</v>
      </c>
      <c r="H33" s="28">
        <v>0</v>
      </c>
      <c r="I33" s="37">
        <v>240</v>
      </c>
      <c r="J33" s="38">
        <v>150</v>
      </c>
      <c r="K33" s="34" t="s">
        <v>29</v>
      </c>
      <c r="L33" s="31">
        <v>1</v>
      </c>
      <c r="O33" s="34" t="s">
        <v>28</v>
      </c>
      <c r="P33" s="31">
        <v>1</v>
      </c>
    </row>
    <row r="34" spans="1:16" x14ac:dyDescent="0.25">
      <c r="A34" s="31" t="s">
        <v>58</v>
      </c>
      <c r="B34" s="34">
        <v>0</v>
      </c>
      <c r="C34" s="36">
        <v>0</v>
      </c>
      <c r="D34" s="49">
        <f>5.5/7.8</f>
        <v>0.70512820512820518</v>
      </c>
      <c r="E34" s="37">
        <v>0</v>
      </c>
      <c r="F34" s="28">
        <v>999999</v>
      </c>
      <c r="G34" s="37">
        <v>0</v>
      </c>
      <c r="H34" s="28">
        <v>0</v>
      </c>
      <c r="I34" s="37">
        <v>240</v>
      </c>
      <c r="J34" s="38">
        <v>100</v>
      </c>
      <c r="K34" s="34" t="s">
        <v>29</v>
      </c>
      <c r="L34" s="31">
        <v>1</v>
      </c>
      <c r="O34" s="34" t="s">
        <v>28</v>
      </c>
      <c r="P34" s="31">
        <v>1</v>
      </c>
    </row>
    <row r="35" spans="1:16" x14ac:dyDescent="0.25">
      <c r="A35" s="31" t="s">
        <v>59</v>
      </c>
      <c r="B35" s="34">
        <v>0</v>
      </c>
      <c r="C35" s="36">
        <v>0</v>
      </c>
      <c r="D35" s="49">
        <f>13.5/8.8</f>
        <v>1.5340909090909089</v>
      </c>
      <c r="E35" s="37">
        <v>0</v>
      </c>
      <c r="F35" s="28">
        <v>999999</v>
      </c>
      <c r="G35" s="37">
        <v>0</v>
      </c>
      <c r="H35" s="28">
        <v>0</v>
      </c>
      <c r="I35" s="37">
        <v>240</v>
      </c>
      <c r="J35" s="38">
        <v>50</v>
      </c>
      <c r="K35" s="34" t="s">
        <v>29</v>
      </c>
      <c r="L35" s="31">
        <v>1</v>
      </c>
      <c r="O35" s="34" t="s">
        <v>28</v>
      </c>
      <c r="P35" s="31">
        <v>1</v>
      </c>
    </row>
    <row r="36" spans="1:16" x14ac:dyDescent="0.25">
      <c r="A36" s="31" t="s">
        <v>864</v>
      </c>
      <c r="B36" s="34">
        <v>0</v>
      </c>
      <c r="C36" s="36">
        <v>0</v>
      </c>
      <c r="D36" s="49">
        <f>1.5/2</f>
        <v>0.75</v>
      </c>
      <c r="E36" s="37">
        <v>0</v>
      </c>
      <c r="F36" s="48">
        <v>86</v>
      </c>
      <c r="G36" s="37">
        <v>0</v>
      </c>
      <c r="H36" s="28">
        <v>0</v>
      </c>
      <c r="I36" s="37">
        <v>240</v>
      </c>
      <c r="J36" s="38">
        <v>75</v>
      </c>
      <c r="K36" s="34" t="s">
        <v>861</v>
      </c>
      <c r="L36" s="31">
        <v>1</v>
      </c>
      <c r="O36" s="34" t="s">
        <v>27</v>
      </c>
      <c r="P36" s="31">
        <v>1</v>
      </c>
    </row>
    <row r="37" spans="1:16" x14ac:dyDescent="0.25">
      <c r="A37" s="31" t="s">
        <v>865</v>
      </c>
      <c r="B37" s="34">
        <v>0</v>
      </c>
      <c r="C37" s="36">
        <v>0</v>
      </c>
      <c r="D37" s="49">
        <f>20/240</f>
        <v>8.3333333333333329E-2</v>
      </c>
      <c r="E37" s="37">
        <v>0</v>
      </c>
      <c r="F37" s="48">
        <v>0.75</v>
      </c>
      <c r="G37" s="37">
        <v>0</v>
      </c>
      <c r="H37" s="28">
        <v>0</v>
      </c>
      <c r="I37" s="37">
        <v>240</v>
      </c>
      <c r="J37" s="38">
        <v>125</v>
      </c>
      <c r="K37" s="34" t="s">
        <v>861</v>
      </c>
      <c r="L37" s="31">
        <v>1</v>
      </c>
      <c r="O37" s="34" t="s">
        <v>28</v>
      </c>
      <c r="P37" s="31">
        <v>1</v>
      </c>
    </row>
    <row r="38" spans="1:16" x14ac:dyDescent="0.25">
      <c r="A38" s="31" t="s">
        <v>866</v>
      </c>
      <c r="B38" s="34">
        <v>0</v>
      </c>
      <c r="C38" s="36">
        <v>0</v>
      </c>
      <c r="D38" s="49">
        <f>270/540</f>
        <v>0.5</v>
      </c>
      <c r="E38" s="37">
        <v>0</v>
      </c>
      <c r="F38" s="48">
        <v>2.42</v>
      </c>
      <c r="G38" s="37">
        <v>0</v>
      </c>
      <c r="H38" s="28">
        <v>0</v>
      </c>
      <c r="I38" s="37">
        <v>240</v>
      </c>
      <c r="J38" s="38">
        <v>175</v>
      </c>
      <c r="K38" s="34" t="s">
        <v>861</v>
      </c>
      <c r="L38" s="31">
        <v>1</v>
      </c>
      <c r="O38" s="34" t="s">
        <v>28</v>
      </c>
      <c r="P38" s="31">
        <v>1</v>
      </c>
    </row>
    <row r="39" spans="1:16" x14ac:dyDescent="0.25">
      <c r="A39" s="31" t="s">
        <v>867</v>
      </c>
      <c r="B39" s="34">
        <v>0</v>
      </c>
      <c r="C39" s="36">
        <v>0</v>
      </c>
      <c r="D39" s="49">
        <f>550/900</f>
        <v>0.61111111111111116</v>
      </c>
      <c r="E39" s="37">
        <v>0</v>
      </c>
      <c r="F39" s="48">
        <v>13.03</v>
      </c>
      <c r="G39" s="37">
        <v>0</v>
      </c>
      <c r="H39" s="28">
        <v>0</v>
      </c>
      <c r="I39" s="37">
        <v>240</v>
      </c>
      <c r="J39" s="38">
        <v>225</v>
      </c>
      <c r="K39" s="34" t="s">
        <v>861</v>
      </c>
      <c r="L39" s="31">
        <v>1</v>
      </c>
      <c r="O39" s="34" t="s">
        <v>28</v>
      </c>
      <c r="P39" s="31">
        <v>1</v>
      </c>
    </row>
    <row r="40" spans="1:16" x14ac:dyDescent="0.25">
      <c r="A40" s="31" t="s">
        <v>868</v>
      </c>
      <c r="B40" s="34">
        <v>0</v>
      </c>
      <c r="C40" s="36">
        <v>0</v>
      </c>
      <c r="D40" s="49">
        <f>1350/1020</f>
        <v>1.3235294117647058</v>
      </c>
      <c r="E40" s="37">
        <v>0</v>
      </c>
      <c r="F40" s="48">
        <v>41.15</v>
      </c>
      <c r="G40" s="37">
        <v>0</v>
      </c>
      <c r="H40" s="28">
        <v>0</v>
      </c>
      <c r="I40" s="37">
        <v>240</v>
      </c>
      <c r="J40" s="38">
        <v>275</v>
      </c>
      <c r="K40" s="34" t="s">
        <v>861</v>
      </c>
      <c r="L40" s="31">
        <v>1</v>
      </c>
      <c r="O40" s="34" t="s">
        <v>28</v>
      </c>
      <c r="P40" s="31">
        <v>1</v>
      </c>
    </row>
    <row r="41" spans="1:16" x14ac:dyDescent="0.25">
      <c r="B41" s="35"/>
      <c r="C41" s="35"/>
      <c r="E41" s="38"/>
      <c r="F41" s="28"/>
      <c r="G41" s="38"/>
      <c r="H41" s="28"/>
      <c r="I41" s="38"/>
      <c r="J41" s="38"/>
      <c r="K41" s="35"/>
      <c r="O41" s="35"/>
    </row>
    <row r="42" spans="1:16" x14ac:dyDescent="0.25">
      <c r="A42" s="43" t="s">
        <v>892</v>
      </c>
      <c r="B42" s="35"/>
      <c r="C42" s="35"/>
      <c r="E42" s="38"/>
      <c r="F42" s="28"/>
      <c r="G42" s="38"/>
      <c r="H42" s="28"/>
      <c r="I42" s="38"/>
      <c r="J42" s="38"/>
      <c r="K42" s="35"/>
      <c r="O42" s="35"/>
    </row>
    <row r="43" spans="1:16" x14ac:dyDescent="0.25">
      <c r="A43" s="50" t="s">
        <v>898</v>
      </c>
      <c r="B43" s="50"/>
      <c r="C43" s="35"/>
      <c r="E43" s="38"/>
      <c r="F43" s="28"/>
      <c r="G43" s="38"/>
      <c r="H43" s="28"/>
      <c r="I43" s="38"/>
      <c r="J43" s="38"/>
      <c r="K43" s="35"/>
      <c r="O43" s="35"/>
    </row>
    <row r="44" spans="1:16" x14ac:dyDescent="0.25">
      <c r="A44" s="42"/>
      <c r="B44" s="35"/>
      <c r="C44" s="35"/>
      <c r="E44" s="38"/>
      <c r="F44" s="28"/>
      <c r="G44" s="38"/>
      <c r="H44" s="28"/>
      <c r="I44" s="38"/>
      <c r="J44" s="38"/>
      <c r="K44" s="35"/>
      <c r="O44" s="35"/>
    </row>
    <row r="45" spans="1:16" x14ac:dyDescent="0.25">
      <c r="A45" s="43" t="s">
        <v>893</v>
      </c>
      <c r="B45" s="35"/>
      <c r="C45" s="35"/>
      <c r="E45" s="38"/>
      <c r="F45" s="28"/>
      <c r="G45" s="38"/>
      <c r="H45" s="28"/>
      <c r="I45" s="38"/>
      <c r="J45" s="38"/>
      <c r="K45" s="35"/>
      <c r="O45" s="35"/>
    </row>
    <row r="46" spans="1:16" x14ac:dyDescent="0.25">
      <c r="A46" s="42" t="s">
        <v>888</v>
      </c>
      <c r="B46" s="35"/>
      <c r="C46" s="35"/>
      <c r="E46" s="38"/>
      <c r="F46" s="28"/>
      <c r="G46" s="38"/>
      <c r="H46" s="28"/>
      <c r="I46" s="38"/>
      <c r="J46" s="38"/>
      <c r="K46" s="35"/>
      <c r="O46" s="35"/>
    </row>
    <row r="47" spans="1:16" x14ac:dyDescent="0.25">
      <c r="A47" s="42"/>
      <c r="B47" s="35"/>
      <c r="C47" s="35"/>
      <c r="E47" s="38"/>
      <c r="F47" s="28"/>
      <c r="G47" s="38"/>
      <c r="H47" s="28"/>
      <c r="I47" s="38"/>
      <c r="J47" s="38"/>
      <c r="K47" s="35"/>
      <c r="O47" s="35"/>
    </row>
    <row r="48" spans="1:16" x14ac:dyDescent="0.25">
      <c r="A48" s="43" t="s">
        <v>894</v>
      </c>
      <c r="B48" s="35"/>
      <c r="C48" s="35"/>
      <c r="E48" s="38"/>
      <c r="F48" s="28"/>
      <c r="G48" s="38"/>
      <c r="H48" s="28"/>
      <c r="I48" s="38"/>
      <c r="J48" s="38"/>
      <c r="K48" s="35"/>
      <c r="O48" s="35"/>
    </row>
    <row r="49" spans="1:15" x14ac:dyDescent="0.25">
      <c r="A49" s="42" t="s">
        <v>888</v>
      </c>
      <c r="B49" s="35"/>
      <c r="C49" s="35"/>
      <c r="E49" s="38"/>
      <c r="F49" s="28"/>
      <c r="G49" s="38"/>
      <c r="H49" s="28"/>
      <c r="I49" s="38"/>
      <c r="J49" s="38"/>
      <c r="K49" s="35"/>
      <c r="O49" s="35"/>
    </row>
    <row r="51" spans="1:15" x14ac:dyDescent="0.25">
      <c r="A51" s="43" t="s">
        <v>891</v>
      </c>
    </row>
    <row r="52" spans="1:15" x14ac:dyDescent="0.25">
      <c r="A52" s="31" t="s">
        <v>20</v>
      </c>
      <c r="B52" s="31" t="s">
        <v>823</v>
      </c>
      <c r="C52" s="31" t="s">
        <v>824</v>
      </c>
      <c r="D52" s="31" t="s">
        <v>826</v>
      </c>
      <c r="E52" s="31" t="s">
        <v>825</v>
      </c>
    </row>
    <row r="53" spans="1:15" x14ac:dyDescent="0.25">
      <c r="A53" s="47">
        <v>96</v>
      </c>
      <c r="B53" s="31">
        <v>0.08</v>
      </c>
      <c r="C53" s="31">
        <v>20</v>
      </c>
      <c r="D53" s="31">
        <v>30</v>
      </c>
      <c r="E53" s="31">
        <v>400</v>
      </c>
    </row>
    <row r="55" spans="1:15" x14ac:dyDescent="0.25">
      <c r="A55" s="41" t="s">
        <v>895</v>
      </c>
    </row>
    <row r="56" spans="1:15" x14ac:dyDescent="0.25">
      <c r="A56" s="31" t="s">
        <v>888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  <vt:lpstr>BSZ2030</vt:lpstr>
      <vt:lpstr>BAT2030</vt:lpstr>
      <vt:lpstr>ICE2030</vt:lpstr>
      <vt:lpstr>BSZ2050</vt:lpstr>
      <vt:lpstr>BAT2050</vt:lpstr>
      <vt:lpstr>ICE2050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2018-07-24T09:19:26Z</dcterms:modified>
</cp:coreProperties>
</file>