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jetuht_taltech_ee/Documents/Projects/2024_DE_KSB_Pumpe/2024.07.27_Blade_Strike_Model/"/>
    </mc:Choice>
  </mc:AlternateContent>
  <xr:revisionPtr revIDLastSave="484" documentId="8_{A1351295-A178-4E8B-9755-3CCF28944218}" xr6:coauthVersionLast="36" xr6:coauthVersionMax="36" xr10:uidLastSave="{4B2BDD2D-92BF-4383-B4A0-30BD6C9F403C}"/>
  <bookViews>
    <workbookView xWindow="0" yWindow="0" windowWidth="21570" windowHeight="7980" xr2:uid="{8A169106-22FD-464C-BC9C-110AF2C8EEAB}"/>
  </bookViews>
  <sheets>
    <sheet name="User Input Parameters" sheetId="1" r:id="rId1"/>
    <sheet name="Calculated Parameters" sheetId="2" r:id="rId2"/>
    <sheet name="Strike Model 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11" i="2"/>
  <c r="C14" i="2"/>
  <c r="C13" i="2"/>
  <c r="C5" i="2"/>
  <c r="C4" i="2"/>
  <c r="C8" i="3" l="1"/>
  <c r="C10" i="2"/>
  <c r="C9" i="2"/>
  <c r="C12" i="2"/>
  <c r="C15" i="2" s="1"/>
  <c r="C2" i="2"/>
  <c r="C3" i="2"/>
  <c r="H7" i="2" l="1"/>
  <c r="G7" i="2"/>
  <c r="C2" i="3"/>
  <c r="C7" i="3"/>
  <c r="C19" i="2" l="1"/>
  <c r="C4" i="3" s="1"/>
  <c r="C5" i="3" s="1"/>
  <c r="C18" i="2"/>
  <c r="C3" i="3" s="1"/>
</calcChain>
</file>

<file path=xl/sharedStrings.xml><?xml version="1.0" encoding="utf-8"?>
<sst xmlns="http://schemas.openxmlformats.org/spreadsheetml/2006/main" count="88" uniqueCount="85">
  <si>
    <t>n</t>
  </si>
  <si>
    <t>N</t>
  </si>
  <si>
    <t>Q</t>
  </si>
  <si>
    <t>Fish total body length (m)</t>
  </si>
  <si>
    <t>Number of blades</t>
  </si>
  <si>
    <t>Blade radius (m)</t>
  </si>
  <si>
    <t>r</t>
  </si>
  <si>
    <t>Blade thickness (m)</t>
  </si>
  <si>
    <t>d</t>
  </si>
  <si>
    <t>Strike velocity hub (m/s)</t>
  </si>
  <si>
    <t>a</t>
  </si>
  <si>
    <t>b</t>
  </si>
  <si>
    <t>Shaft speed (rpm)</t>
  </si>
  <si>
    <t>Estimated time for fish to pass through the impeller inlet area (s)</t>
  </si>
  <si>
    <t>Time for blade to rotate over one impeller channel width (s)</t>
  </si>
  <si>
    <t>Fish body height (m)</t>
  </si>
  <si>
    <t>W</t>
  </si>
  <si>
    <t>Mean effective length (m)</t>
  </si>
  <si>
    <t>Ratio of body length to leading edge blade thickness (-)</t>
  </si>
  <si>
    <t>Outer diameter (m)</t>
  </si>
  <si>
    <t>Hub diameter (m)</t>
  </si>
  <si>
    <t>Shaft speed (rad/s)</t>
  </si>
  <si>
    <t>Ω</t>
  </si>
  <si>
    <t>Strike Model Results</t>
  </si>
  <si>
    <t>Mortality ratio, tip (-)</t>
  </si>
  <si>
    <t>Mortality ratio, averaged axial flow (-)</t>
  </si>
  <si>
    <t>Maximum body length (m)</t>
  </si>
  <si>
    <t>Body length averaging angle (rad)</t>
  </si>
  <si>
    <r>
      <t>P</t>
    </r>
    <r>
      <rPr>
        <vertAlign val="subscript"/>
        <sz val="12"/>
        <color theme="1"/>
        <rFont val="Arial"/>
        <family val="2"/>
      </rPr>
      <t>th</t>
    </r>
  </si>
  <si>
    <r>
      <t>t</t>
    </r>
    <r>
      <rPr>
        <vertAlign val="subscript"/>
        <sz val="12"/>
        <color theme="1"/>
        <rFont val="Arial"/>
        <family val="2"/>
      </rPr>
      <t>f</t>
    </r>
  </si>
  <si>
    <r>
      <t>t</t>
    </r>
    <r>
      <rPr>
        <vertAlign val="subscript"/>
        <sz val="12"/>
        <color theme="1"/>
        <rFont val="Arial"/>
        <family val="2"/>
      </rPr>
      <t>b</t>
    </r>
  </si>
  <si>
    <r>
      <t>P</t>
    </r>
    <r>
      <rPr>
        <vertAlign val="subscript"/>
        <sz val="12"/>
        <color theme="1"/>
        <rFont val="Arial"/>
        <family val="2"/>
      </rPr>
      <t>m</t>
    </r>
  </si>
  <si>
    <r>
      <t>L</t>
    </r>
    <r>
      <rPr>
        <vertAlign val="subscript"/>
        <sz val="12"/>
        <color theme="1"/>
        <rFont val="Arial"/>
        <family val="2"/>
      </rPr>
      <t>f</t>
    </r>
  </si>
  <si>
    <r>
      <t>b</t>
    </r>
    <r>
      <rPr>
        <vertAlign val="subscript"/>
        <sz val="12"/>
        <color theme="1"/>
        <rFont val="Arial"/>
        <family val="2"/>
      </rPr>
      <t>h</t>
    </r>
  </si>
  <si>
    <r>
      <t>v</t>
    </r>
    <r>
      <rPr>
        <vertAlign val="subscript"/>
        <sz val="12"/>
        <color theme="1"/>
        <rFont val="Arial"/>
        <family val="2"/>
      </rPr>
      <t>0</t>
    </r>
  </si>
  <si>
    <t>Strike velocity at which there is no mortality (m/s)</t>
  </si>
  <si>
    <t>Fish Parameters - Calculated</t>
  </si>
  <si>
    <t>Pump Parameters - Calculated</t>
  </si>
  <si>
    <t>Fish Parameters - User Input</t>
  </si>
  <si>
    <t>Pump Parameters - User Input</t>
  </si>
  <si>
    <t>This value represents the lowest relative blade strike velocity at which no mortality from strikes was observed.</t>
  </si>
  <si>
    <t>This is the total length from the anteriormost point on the fish's body to the end of the caudal fin.</t>
  </si>
  <si>
    <t>The maximum height of the fish's body, neglecting the height of the dorsal fin.</t>
  </si>
  <si>
    <t>Theoretical probability of blade strike (%)</t>
  </si>
  <si>
    <r>
      <t>Flow rate (m</t>
    </r>
    <r>
      <rPr>
        <vertAlign val="superscript"/>
        <sz val="12"/>
        <color theme="0"/>
        <rFont val="Arial"/>
        <family val="2"/>
      </rPr>
      <t>3</t>
    </r>
    <r>
      <rPr>
        <sz val="12"/>
        <color theme="0"/>
        <rFont val="Arial"/>
        <family val="2"/>
      </rPr>
      <t>/s)</t>
    </r>
  </si>
  <si>
    <r>
      <t>Impeller inlet area (m</t>
    </r>
    <r>
      <rPr>
        <vertAlign val="superscript"/>
        <sz val="12"/>
        <color theme="0"/>
        <rFont val="Arial"/>
        <family val="2"/>
      </rPr>
      <t>2</t>
    </r>
    <r>
      <rPr>
        <sz val="12"/>
        <color theme="0"/>
        <rFont val="Arial"/>
        <family val="2"/>
      </rPr>
      <t>)</t>
    </r>
  </si>
  <si>
    <r>
      <t>f</t>
    </r>
    <r>
      <rPr>
        <vertAlign val="subscript"/>
        <sz val="12"/>
        <rFont val="Arial"/>
        <family val="2"/>
      </rPr>
      <t>MR</t>
    </r>
  </si>
  <si>
    <t>Mortality Ratios - Calculated</t>
  </si>
  <si>
    <r>
      <t>L</t>
    </r>
    <r>
      <rPr>
        <vertAlign val="subscript"/>
        <sz val="12"/>
        <color theme="1"/>
        <rFont val="Arial"/>
        <family val="2"/>
      </rPr>
      <t>eff</t>
    </r>
  </si>
  <si>
    <r>
      <t>L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/d</t>
    </r>
  </si>
  <si>
    <r>
      <t>L</t>
    </r>
    <r>
      <rPr>
        <vertAlign val="subscript"/>
        <sz val="12"/>
        <color theme="1"/>
        <rFont val="Arial"/>
        <family val="2"/>
      </rPr>
      <t>max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</si>
  <si>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Arial"/>
        <family val="2"/>
      </rPr>
      <t>0</t>
    </r>
  </si>
  <si>
    <r>
      <t>A</t>
    </r>
    <r>
      <rPr>
        <vertAlign val="subscript"/>
        <sz val="12"/>
        <color theme="1"/>
        <rFont val="Arial"/>
        <family val="2"/>
      </rPr>
      <t>1</t>
    </r>
  </si>
  <si>
    <r>
      <t>v</t>
    </r>
    <r>
      <rPr>
        <vertAlign val="subscript"/>
        <sz val="12"/>
        <color theme="1"/>
        <rFont val="Arial"/>
        <family val="2"/>
      </rPr>
      <t>1m</t>
    </r>
  </si>
  <si>
    <r>
      <t>v</t>
    </r>
    <r>
      <rPr>
        <vertAlign val="subscript"/>
        <sz val="12"/>
        <color theme="1"/>
        <rFont val="Arial"/>
        <family val="2"/>
      </rPr>
      <t>1i</t>
    </r>
  </si>
  <si>
    <t>2 to 10</t>
  </si>
  <si>
    <t>10 to 25</t>
  </si>
  <si>
    <r>
      <t>Regression parameters for mortality ratio f</t>
    </r>
    <r>
      <rPr>
        <b/>
        <vertAlign val="subscript"/>
        <sz val="12"/>
        <color theme="1"/>
        <rFont val="Arial"/>
        <family val="2"/>
      </rPr>
      <t>MR</t>
    </r>
  </si>
  <si>
    <r>
      <t>L</t>
    </r>
    <r>
      <rPr>
        <b/>
        <vertAlign val="subscript"/>
        <sz val="12"/>
        <color theme="1"/>
        <rFont val="Arial"/>
        <family val="2"/>
      </rPr>
      <t>f</t>
    </r>
    <r>
      <rPr>
        <b/>
        <sz val="12"/>
        <color theme="1"/>
        <rFont val="Arial"/>
        <family val="2"/>
      </rPr>
      <t>/d</t>
    </r>
  </si>
  <si>
    <t>0 to 2</t>
  </si>
  <si>
    <t>Used</t>
  </si>
  <si>
    <t>Survival rate (%)</t>
  </si>
  <si>
    <t>S</t>
  </si>
  <si>
    <t>Average velocity in the meridional plane (m/s)</t>
  </si>
  <si>
    <r>
      <t>v</t>
    </r>
    <r>
      <rPr>
        <vertAlign val="subscript"/>
        <sz val="12"/>
        <color theme="1"/>
        <rFont val="Arial"/>
        <family val="2"/>
      </rPr>
      <t>m</t>
    </r>
  </si>
  <si>
    <t>Strike velocity for a purely radial flow pump (m/s)</t>
  </si>
  <si>
    <t>Strike velocity at the leading edge (m/s)</t>
  </si>
  <si>
    <t>Inner diameter (m)</t>
  </si>
  <si>
    <r>
      <t>D</t>
    </r>
    <r>
      <rPr>
        <vertAlign val="subscript"/>
        <sz val="12"/>
        <color theme="1"/>
        <rFont val="Arial"/>
        <family val="2"/>
      </rPr>
      <t>1o</t>
    </r>
  </si>
  <si>
    <r>
      <t>D</t>
    </r>
    <r>
      <rPr>
        <vertAlign val="subscript"/>
        <sz val="12"/>
        <color theme="1"/>
        <rFont val="Arial"/>
        <family val="2"/>
      </rPr>
      <t>1i</t>
    </r>
  </si>
  <si>
    <r>
      <t>v</t>
    </r>
    <r>
      <rPr>
        <vertAlign val="subscript"/>
        <sz val="12"/>
        <color theme="1"/>
        <rFont val="Arial"/>
        <family val="2"/>
      </rPr>
      <t>1o</t>
    </r>
  </si>
  <si>
    <t>Mortality rate, radial flow pump (%)</t>
  </si>
  <si>
    <t>Mortality rate, mixed-flow and axial flow pump (%)</t>
  </si>
  <si>
    <t>dx.doi.org/10.1139/cjfas-2014-0035</t>
  </si>
  <si>
    <t>Based on equations in van Esch and Spierts (2014)</t>
  </si>
  <si>
    <t>Eqn. 4</t>
  </si>
  <si>
    <t>Eqn. 7</t>
  </si>
  <si>
    <t>Eqn. 6</t>
  </si>
  <si>
    <t>Eqn. 3</t>
  </si>
  <si>
    <t>Eqn. 5</t>
  </si>
  <si>
    <t>Eqn. B2</t>
  </si>
  <si>
    <t>This program is distributed in the hope that it will be useful, but WITHOUT ANY WARRANTY; without even the implied warranty of MERCHANTABILITY or FITNESS FOR A PARTICULAR PURPOSE. See the GNU General Public License for more details.</t>
  </si>
  <si>
    <t>https://www.gnu.org/licenses/</t>
  </si>
  <si>
    <t>This program is free software: you can redistribute it and/or modify it under the terms of the GNU General Public License as published by the Free Software Foundation, version 3 of the License.</t>
  </si>
  <si>
    <t>Copyright 2024 Jeffrey A. Tuhtan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</si>
</sst>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vertAlign val="sub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sz val="12"/>
      <color rgb="FF0070C0"/>
      <name val="Arial"/>
      <family val="2"/>
    </font>
    <font>
      <b/>
      <sz val="12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ont="1" applyFill="1"/>
    <xf numFmtId="0" fontId="7" fillId="4" borderId="2" xfId="0" applyFont="1" applyFill="1" applyBorder="1"/>
    <xf numFmtId="0" fontId="7" fillId="4" borderId="5" xfId="0" applyFont="1" applyFill="1" applyBorder="1"/>
    <xf numFmtId="0" fontId="7" fillId="4" borderId="7" xfId="0" applyFont="1" applyFill="1" applyBorder="1"/>
    <xf numFmtId="0" fontId="7" fillId="5" borderId="2" xfId="0" applyFont="1" applyFill="1" applyBorder="1"/>
    <xf numFmtId="0" fontId="7" fillId="5" borderId="7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7" fillId="7" borderId="2" xfId="0" applyFont="1" applyFill="1" applyBorder="1"/>
    <xf numFmtId="0" fontId="7" fillId="7" borderId="5" xfId="0" applyFont="1" applyFill="1" applyBorder="1"/>
    <xf numFmtId="0" fontId="7" fillId="7" borderId="7" xfId="0" applyFont="1" applyFill="1" applyBorder="1"/>
    <xf numFmtId="0" fontId="4" fillId="6" borderId="1" xfId="0" applyFont="1" applyFill="1" applyBorder="1" applyAlignment="1">
      <alignment horizontal="center"/>
    </xf>
    <xf numFmtId="0" fontId="7" fillId="9" borderId="2" xfId="0" applyFont="1" applyFill="1" applyBorder="1"/>
    <xf numFmtId="0" fontId="7" fillId="9" borderId="5" xfId="0" applyFont="1" applyFill="1" applyBorder="1"/>
    <xf numFmtId="0" fontId="7" fillId="9" borderId="7" xfId="0" applyFont="1" applyFill="1" applyBorder="1"/>
    <xf numFmtId="164" fontId="3" fillId="2" borderId="4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9" fontId="3" fillId="10" borderId="4" xfId="1" applyFont="1" applyFill="1" applyBorder="1" applyAlignment="1">
      <alignment horizontal="center"/>
    </xf>
    <xf numFmtId="9" fontId="3" fillId="10" borderId="6" xfId="1" applyFont="1" applyFill="1" applyBorder="1" applyAlignment="1">
      <alignment horizontal="center"/>
    </xf>
    <xf numFmtId="9" fontId="3" fillId="10" borderId="9" xfId="1" applyFont="1" applyFill="1" applyBorder="1" applyAlignment="1">
      <alignment horizontal="center"/>
    </xf>
    <xf numFmtId="164" fontId="11" fillId="10" borderId="4" xfId="0" applyNumberFormat="1" applyFont="1" applyFill="1" applyBorder="1" applyAlignment="1">
      <alignment horizontal="center"/>
    </xf>
    <xf numFmtId="164" fontId="11" fillId="10" borderId="9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3" borderId="9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left"/>
    </xf>
    <xf numFmtId="2" fontId="3" fillId="2" borderId="6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7" fillId="8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7" fillId="8" borderId="5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165" fontId="3" fillId="2" borderId="9" xfId="0" applyNumberFormat="1" applyFont="1" applyFill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A3BB-7993-4E56-A672-675EE8EA45AD}">
  <dimension ref="A1:D19"/>
  <sheetViews>
    <sheetView tabSelected="1" workbookViewId="0">
      <selection activeCell="A26" sqref="A26"/>
    </sheetView>
  </sheetViews>
  <sheetFormatPr defaultRowHeight="15.75" x14ac:dyDescent="0.25"/>
  <cols>
    <col min="1" max="1" width="72.28515625" style="3" bestFit="1" customWidth="1"/>
    <col min="2" max="2" width="9.140625" style="2"/>
    <col min="3" max="3" width="10.42578125" style="27" bestFit="1" customWidth="1"/>
    <col min="4" max="4" width="129.28515625" style="3" customWidth="1"/>
    <col min="5" max="16384" width="9.140625" style="3"/>
  </cols>
  <sheetData>
    <row r="1" spans="1:4" ht="16.5" thickBot="1" x14ac:dyDescent="0.3">
      <c r="A1" s="1" t="s">
        <v>38</v>
      </c>
    </row>
    <row r="2" spans="1:4" ht="19.5" x14ac:dyDescent="0.35">
      <c r="A2" s="17" t="s">
        <v>3</v>
      </c>
      <c r="B2" s="14" t="s">
        <v>32</v>
      </c>
      <c r="C2" s="28">
        <v>0.1</v>
      </c>
      <c r="D2" s="3" t="s">
        <v>41</v>
      </c>
    </row>
    <row r="3" spans="1:4" x14ac:dyDescent="0.25">
      <c r="A3" s="18" t="s">
        <v>15</v>
      </c>
      <c r="B3" s="15" t="s">
        <v>16</v>
      </c>
      <c r="C3" s="29">
        <v>2.5000000000000001E-2</v>
      </c>
      <c r="D3" s="3" t="s">
        <v>42</v>
      </c>
    </row>
    <row r="4" spans="1:4" ht="20.25" thickBot="1" x14ac:dyDescent="0.4">
      <c r="A4" s="19" t="s">
        <v>35</v>
      </c>
      <c r="B4" s="16" t="s">
        <v>34</v>
      </c>
      <c r="C4" s="30">
        <v>4.8</v>
      </c>
      <c r="D4" s="3" t="s">
        <v>40</v>
      </c>
    </row>
    <row r="6" spans="1:4" ht="16.5" thickBot="1" x14ac:dyDescent="0.3">
      <c r="A6" s="1" t="s">
        <v>39</v>
      </c>
    </row>
    <row r="7" spans="1:4" x14ac:dyDescent="0.25">
      <c r="A7" s="9" t="s">
        <v>4</v>
      </c>
      <c r="B7" s="14" t="s">
        <v>0</v>
      </c>
      <c r="C7" s="39">
        <v>2</v>
      </c>
    </row>
    <row r="8" spans="1:4" x14ac:dyDescent="0.25">
      <c r="A8" s="10" t="s">
        <v>12</v>
      </c>
      <c r="B8" s="15" t="s">
        <v>1</v>
      </c>
      <c r="C8" s="31">
        <v>495</v>
      </c>
    </row>
    <row r="9" spans="1:4" ht="18.75" x14ac:dyDescent="0.25">
      <c r="A9" s="10" t="s">
        <v>44</v>
      </c>
      <c r="B9" s="15" t="s">
        <v>2</v>
      </c>
      <c r="C9" s="29">
        <v>1.8</v>
      </c>
    </row>
    <row r="10" spans="1:4" x14ac:dyDescent="0.25">
      <c r="A10" s="10" t="s">
        <v>5</v>
      </c>
      <c r="B10" s="15" t="s">
        <v>6</v>
      </c>
      <c r="C10" s="29">
        <v>0.4</v>
      </c>
    </row>
    <row r="11" spans="1:4" x14ac:dyDescent="0.25">
      <c r="A11" s="10" t="s">
        <v>7</v>
      </c>
      <c r="B11" s="15" t="s">
        <v>8</v>
      </c>
      <c r="C11" s="29">
        <v>1.4999999999999999E-2</v>
      </c>
    </row>
    <row r="12" spans="1:4" ht="20.25" thickBot="1" x14ac:dyDescent="0.4">
      <c r="A12" s="11" t="s">
        <v>20</v>
      </c>
      <c r="B12" s="16" t="s">
        <v>33</v>
      </c>
      <c r="C12" s="30">
        <v>0.15</v>
      </c>
    </row>
    <row r="13" spans="1:4" x14ac:dyDescent="0.25">
      <c r="B13" s="3"/>
      <c r="C13" s="1"/>
    </row>
    <row r="14" spans="1:4" x14ac:dyDescent="0.25">
      <c r="A14" s="3" t="s">
        <v>74</v>
      </c>
    </row>
    <row r="15" spans="1:4" x14ac:dyDescent="0.25">
      <c r="A15" s="65" t="s">
        <v>73</v>
      </c>
    </row>
    <row r="16" spans="1:4" x14ac:dyDescent="0.25">
      <c r="A16" s="3" t="s">
        <v>84</v>
      </c>
    </row>
    <row r="17" spans="1:3" x14ac:dyDescent="0.25">
      <c r="A17" s="4" t="s">
        <v>83</v>
      </c>
    </row>
    <row r="18" spans="1:3" x14ac:dyDescent="0.25">
      <c r="A18" s="4" t="s">
        <v>81</v>
      </c>
    </row>
    <row r="19" spans="1:3" s="65" customFormat="1" x14ac:dyDescent="0.25">
      <c r="A19" s="68" t="s">
        <v>82</v>
      </c>
      <c r="B19" s="66"/>
      <c r="C19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33E-7357-4A86-BA8A-3BDD9E6A158A}">
  <dimension ref="A1:H29"/>
  <sheetViews>
    <sheetView workbookViewId="0">
      <selection activeCell="G17" sqref="G17"/>
    </sheetView>
  </sheetViews>
  <sheetFormatPr defaultRowHeight="15" x14ac:dyDescent="0.25"/>
  <cols>
    <col min="1" max="1" width="57.140625" style="5" bestFit="1" customWidth="1"/>
    <col min="2" max="2" width="9.140625" style="5"/>
    <col min="3" max="3" width="10.85546875" style="5" bestFit="1" customWidth="1"/>
    <col min="4" max="5" width="9.140625" style="5"/>
    <col min="6" max="6" width="14.85546875" style="5" customWidth="1"/>
    <col min="7" max="7" width="15.85546875" style="5" customWidth="1"/>
    <col min="8" max="8" width="19.85546875" style="5" customWidth="1"/>
    <col min="9" max="16384" width="9.140625" style="5"/>
  </cols>
  <sheetData>
    <row r="1" spans="1:8" ht="19.5" thickBot="1" x14ac:dyDescent="0.4">
      <c r="A1" s="7" t="s">
        <v>36</v>
      </c>
      <c r="F1" s="54" t="s">
        <v>57</v>
      </c>
      <c r="G1" s="54"/>
      <c r="H1" s="54"/>
    </row>
    <row r="2" spans="1:8" ht="19.5" x14ac:dyDescent="0.35">
      <c r="A2" s="17" t="s">
        <v>17</v>
      </c>
      <c r="B2" s="14" t="s">
        <v>48</v>
      </c>
      <c r="C2" s="24">
        <f>((2*C4)/3.14)*(SIN(3.14/2+C5)-SIN(C5))</f>
        <v>7.9605133837844039E-2</v>
      </c>
      <c r="D2" s="4" t="s">
        <v>80</v>
      </c>
      <c r="E2" s="4"/>
      <c r="F2" s="47" t="s">
        <v>58</v>
      </c>
      <c r="G2" s="48" t="s">
        <v>10</v>
      </c>
      <c r="H2" s="49" t="s">
        <v>11</v>
      </c>
    </row>
    <row r="3" spans="1:8" ht="19.5" x14ac:dyDescent="0.35">
      <c r="A3" s="18" t="s">
        <v>18</v>
      </c>
      <c r="B3" s="15" t="s">
        <v>49</v>
      </c>
      <c r="C3" s="40">
        <f>'User Input Parameters'!C2/'User Input Parameters'!C11</f>
        <v>6.666666666666667</v>
      </c>
      <c r="D3" s="4"/>
      <c r="E3" s="4"/>
      <c r="F3" s="50" t="s">
        <v>59</v>
      </c>
      <c r="G3" s="41">
        <v>5.3100000000000001E-2</v>
      </c>
      <c r="H3" s="42">
        <v>2.0199999999999999E-2</v>
      </c>
    </row>
    <row r="4" spans="1:8" ht="19.5" x14ac:dyDescent="0.35">
      <c r="A4" s="18" t="s">
        <v>26</v>
      </c>
      <c r="B4" s="15" t="s">
        <v>50</v>
      </c>
      <c r="C4" s="25">
        <f>SQRT('User Input Parameters'!C2^2+'User Input Parameters'!C3^2)</f>
        <v>0.10307764064044153</v>
      </c>
      <c r="D4" s="4"/>
      <c r="E4" s="4"/>
      <c r="F4" s="45" t="s">
        <v>55</v>
      </c>
      <c r="G4" s="41">
        <v>8.2900000000000001E-2</v>
      </c>
      <c r="H4" s="42">
        <v>-2.0999999999999999E-3</v>
      </c>
    </row>
    <row r="5" spans="1:8" ht="20.25" thickBot="1" x14ac:dyDescent="0.4">
      <c r="A5" s="19" t="s">
        <v>27</v>
      </c>
      <c r="B5" s="16" t="s">
        <v>51</v>
      </c>
      <c r="C5" s="26">
        <f>-ATAN('User Input Parameters'!C3/'User Input Parameters'!C2)</f>
        <v>-0.24497866312686414</v>
      </c>
      <c r="D5" s="4"/>
      <c r="E5" s="4"/>
      <c r="F5" s="46" t="s">
        <v>56</v>
      </c>
      <c r="G5" s="43">
        <v>3.27E-2</v>
      </c>
      <c r="H5" s="44">
        <v>0.11459999999999999</v>
      </c>
    </row>
    <row r="6" spans="1:8" ht="16.5" thickBot="1" x14ac:dyDescent="0.3">
      <c r="A6" s="4"/>
      <c r="B6" s="4"/>
      <c r="C6" s="4"/>
      <c r="D6" s="4"/>
      <c r="E6" s="4"/>
      <c r="F6" s="4"/>
      <c r="G6" s="4"/>
    </row>
    <row r="7" spans="1:8" ht="16.5" thickBot="1" x14ac:dyDescent="0.3">
      <c r="A7" s="7" t="s">
        <v>37</v>
      </c>
      <c r="B7" s="4"/>
      <c r="C7" s="4"/>
      <c r="D7" s="4"/>
      <c r="E7" s="4"/>
      <c r="F7" s="51" t="s">
        <v>60</v>
      </c>
      <c r="G7" s="52">
        <f>IF(C3&lt;=2,G3,IF(C3&lt;=10,G4,IF(C3&gt;10,G5,0)))</f>
        <v>8.2900000000000001E-2</v>
      </c>
      <c r="H7" s="52">
        <f>IF(C3&lt;=2,H3,IF(C3&lt;=10,H4,IF(C3&gt;10,H5,0)))</f>
        <v>-2.0999999999999999E-3</v>
      </c>
    </row>
    <row r="8" spans="1:8" s="60" customFormat="1" ht="15.75" customHeight="1" x14ac:dyDescent="0.35">
      <c r="A8" s="58" t="s">
        <v>45</v>
      </c>
      <c r="B8" s="14" t="s">
        <v>52</v>
      </c>
      <c r="C8" s="56">
        <f>3.14*'User Input Parameters'!C10^2</f>
        <v>0.50240000000000007</v>
      </c>
      <c r="D8" s="59"/>
      <c r="E8" s="59"/>
    </row>
    <row r="9" spans="1:8" ht="15.75" x14ac:dyDescent="0.25">
      <c r="A9" s="61" t="s">
        <v>21</v>
      </c>
      <c r="B9" s="20" t="s">
        <v>22</v>
      </c>
      <c r="C9" s="55">
        <f>2*3.1416*'User Input Parameters'!C8/60</f>
        <v>51.836399999999998</v>
      </c>
      <c r="D9" s="4"/>
      <c r="E9" s="4"/>
      <c r="F9" s="53"/>
      <c r="G9" s="4"/>
    </row>
    <row r="10" spans="1:8" ht="19.5" x14ac:dyDescent="0.35">
      <c r="A10" s="61" t="s">
        <v>19</v>
      </c>
      <c r="B10" s="15" t="s">
        <v>68</v>
      </c>
      <c r="C10" s="55">
        <f>2*'User Input Parameters'!C10</f>
        <v>0.8</v>
      </c>
      <c r="D10" s="4"/>
      <c r="E10" s="4"/>
      <c r="F10" s="4"/>
      <c r="G10" s="4"/>
    </row>
    <row r="11" spans="1:8" ht="19.5" x14ac:dyDescent="0.35">
      <c r="A11" s="61" t="s">
        <v>67</v>
      </c>
      <c r="B11" s="15" t="s">
        <v>69</v>
      </c>
      <c r="C11" s="55">
        <f>2*'User Input Parameters'!C12</f>
        <v>0.3</v>
      </c>
      <c r="D11" s="4"/>
      <c r="E11" s="4"/>
      <c r="F11" s="4"/>
      <c r="G11" s="4"/>
    </row>
    <row r="12" spans="1:8" ht="19.5" x14ac:dyDescent="0.35">
      <c r="A12" s="61" t="s">
        <v>63</v>
      </c>
      <c r="B12" s="15" t="s">
        <v>64</v>
      </c>
      <c r="C12" s="55">
        <f>'User Input Parameters'!C9/'Calculated Parameters'!C8</f>
        <v>3.5828025477707004</v>
      </c>
      <c r="D12" s="4"/>
      <c r="E12" s="4"/>
      <c r="F12" s="4"/>
      <c r="G12" s="4"/>
    </row>
    <row r="13" spans="1:8" ht="19.5" x14ac:dyDescent="0.35">
      <c r="A13" s="61" t="s">
        <v>66</v>
      </c>
      <c r="B13" s="15" t="s">
        <v>70</v>
      </c>
      <c r="C13" s="55">
        <f>(2*3.14*'User Input Parameters'!C10)*'User Input Parameters'!C8/60</f>
        <v>20.724000000000004</v>
      </c>
      <c r="D13" s="4"/>
      <c r="E13" s="4"/>
      <c r="F13" s="4"/>
      <c r="G13" s="4"/>
    </row>
    <row r="14" spans="1:8" ht="19.5" x14ac:dyDescent="0.35">
      <c r="A14" s="61" t="s">
        <v>9</v>
      </c>
      <c r="B14" s="15" t="s">
        <v>54</v>
      </c>
      <c r="C14" s="55">
        <f>(2*3.14*'User Input Parameters'!C12)*'User Input Parameters'!C8/60</f>
        <v>7.7714999999999996</v>
      </c>
      <c r="D14" s="4"/>
      <c r="E14" s="4"/>
      <c r="F14" s="4"/>
      <c r="G14" s="4"/>
    </row>
    <row r="15" spans="1:8" ht="20.25" thickBot="1" x14ac:dyDescent="0.4">
      <c r="A15" s="62" t="s">
        <v>65</v>
      </c>
      <c r="B15" s="16" t="s">
        <v>53</v>
      </c>
      <c r="C15" s="64">
        <f>SQRT(C12^2 + ((3.14*'User Input Parameters'!C8*'User Input Parameters'!C10*2)/60)^2)</f>
        <v>21.031420543945959</v>
      </c>
      <c r="D15" s="4" t="s">
        <v>77</v>
      </c>
      <c r="E15" s="4"/>
      <c r="F15" s="4"/>
      <c r="G15" s="4"/>
    </row>
    <row r="16" spans="1:8" ht="15.75" x14ac:dyDescent="0.25">
      <c r="A16" s="4"/>
      <c r="B16" s="4"/>
      <c r="C16" s="4"/>
      <c r="D16" s="4"/>
      <c r="E16" s="4"/>
      <c r="F16" s="4"/>
      <c r="G16" s="4"/>
    </row>
    <row r="17" spans="1:7" ht="16.5" thickBot="1" x14ac:dyDescent="0.3">
      <c r="A17" s="7" t="s">
        <v>47</v>
      </c>
      <c r="F17" s="4"/>
      <c r="G17" s="4"/>
    </row>
    <row r="18" spans="1:7" ht="19.5" x14ac:dyDescent="0.35">
      <c r="A18" s="21" t="s">
        <v>24</v>
      </c>
      <c r="B18" s="37" t="s">
        <v>46</v>
      </c>
      <c r="C18" s="57">
        <f>IF((G7*LN(C3)+H7)*(C15-'User Input Parameters'!C4)&lt;1,(G7*LN(C3)+H7)*(C15-'User Input Parameters'!C4),1)</f>
        <v>1</v>
      </c>
      <c r="D18" s="4" t="s">
        <v>75</v>
      </c>
      <c r="E18" s="4"/>
      <c r="F18" s="4"/>
    </row>
    <row r="19" spans="1:7" ht="20.25" thickBot="1" x14ac:dyDescent="0.4">
      <c r="A19" s="23" t="s">
        <v>25</v>
      </c>
      <c r="B19" s="38" t="s">
        <v>46</v>
      </c>
      <c r="C19" s="63">
        <f>IF((G7*LN(C3)+H7)*((8*(C13^3-C14^3))/(3*C9^2*(C10^2-C11^2))-'User Input Parameters'!C4)&gt;1,1,(G7*LN(C3)+H7)*((8*(C13^3-C14^3))/(3*C9^2*(C10^2-C11^2))-'User Input Parameters'!C4))</f>
        <v>1</v>
      </c>
      <c r="D19" s="4" t="s">
        <v>76</v>
      </c>
      <c r="E19" s="4"/>
      <c r="F19" s="4"/>
      <c r="G19" s="4"/>
    </row>
    <row r="20" spans="1:7" ht="15.75" x14ac:dyDescent="0.25">
      <c r="A20" s="4"/>
      <c r="B20" s="4"/>
      <c r="C20" s="4"/>
      <c r="D20" s="4"/>
      <c r="E20" s="4"/>
      <c r="F20" s="4"/>
      <c r="G20" s="4"/>
    </row>
    <row r="21" spans="1:7" ht="15.75" x14ac:dyDescent="0.25">
      <c r="A21" s="4"/>
      <c r="B21" s="4"/>
      <c r="C21" s="4"/>
      <c r="D21" s="4"/>
      <c r="E21" s="4"/>
      <c r="F21" s="4"/>
      <c r="G21" s="4"/>
    </row>
    <row r="22" spans="1:7" ht="15.75" x14ac:dyDescent="0.25">
      <c r="A22" s="4"/>
      <c r="B22" s="4"/>
      <c r="C22" s="4"/>
      <c r="D22" s="4"/>
      <c r="E22" s="4"/>
      <c r="F22" s="4"/>
      <c r="G22" s="4"/>
    </row>
    <row r="23" spans="1:7" ht="15.75" x14ac:dyDescent="0.25">
      <c r="A23" s="4"/>
      <c r="B23" s="4"/>
      <c r="C23" s="4"/>
      <c r="D23" s="4"/>
      <c r="E23" s="4"/>
      <c r="F23" s="4"/>
      <c r="G23" s="4"/>
    </row>
    <row r="24" spans="1:7" ht="15.75" x14ac:dyDescent="0.25">
      <c r="A24" s="4"/>
      <c r="B24" s="4"/>
      <c r="C24" s="4"/>
      <c r="D24" s="4"/>
      <c r="E24" s="4"/>
      <c r="F24" s="4"/>
      <c r="G24" s="4"/>
    </row>
    <row r="25" spans="1:7" ht="15.75" x14ac:dyDescent="0.25">
      <c r="D25" s="4"/>
      <c r="E25" s="4"/>
      <c r="F25" s="4"/>
      <c r="G25" s="4"/>
    </row>
    <row r="26" spans="1:7" ht="15.75" x14ac:dyDescent="0.25">
      <c r="D26" s="4"/>
      <c r="E26" s="4"/>
      <c r="F26" s="4"/>
      <c r="G26" s="4"/>
    </row>
    <row r="27" spans="1:7" ht="15.75" x14ac:dyDescent="0.25">
      <c r="D27" s="4"/>
      <c r="E27" s="4"/>
      <c r="F27" s="4"/>
      <c r="G27" s="4"/>
    </row>
    <row r="28" spans="1:7" ht="15.75" x14ac:dyDescent="0.25">
      <c r="D28" s="4"/>
      <c r="E28" s="4"/>
      <c r="F28" s="4"/>
      <c r="G28" s="4"/>
    </row>
    <row r="29" spans="1:7" ht="15.75" x14ac:dyDescent="0.25">
      <c r="A29" s="4"/>
      <c r="B29" s="4"/>
      <c r="C29" s="4"/>
      <c r="D29" s="4"/>
      <c r="E29" s="4"/>
      <c r="F29" s="4"/>
      <c r="G29" s="4"/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51F0-9729-48FA-B3B5-BD9C9143EB2F}">
  <dimension ref="A1:D8"/>
  <sheetViews>
    <sheetView workbookViewId="0">
      <selection activeCell="J18" sqref="J18"/>
    </sheetView>
  </sheetViews>
  <sheetFormatPr defaultRowHeight="15.75" x14ac:dyDescent="0.25"/>
  <cols>
    <col min="1" max="1" width="72.28515625" style="5" bestFit="1" customWidth="1"/>
    <col min="2" max="3" width="9.140625" style="5"/>
    <col min="4" max="4" width="9.140625" style="4"/>
    <col min="5" max="16384" width="9.140625" style="5"/>
  </cols>
  <sheetData>
    <row r="1" spans="1:4" ht="16.5" thickBot="1" x14ac:dyDescent="0.3">
      <c r="A1" s="7" t="s">
        <v>23</v>
      </c>
      <c r="B1" s="6"/>
      <c r="C1" s="6"/>
    </row>
    <row r="2" spans="1:4" ht="19.5" x14ac:dyDescent="0.35">
      <c r="A2" s="21" t="s">
        <v>43</v>
      </c>
      <c r="B2" s="14" t="s">
        <v>28</v>
      </c>
      <c r="C2" s="32">
        <f>IF(('Calculated Parameters'!C2*'Calculated Parameters'!C8*'User Input Parameters'!C7*'User Input Parameters'!C8)/(60*'User Input Parameters'!C9)&gt;1,1,('Calculated Parameters'!C2*'Calculated Parameters'!C8*'User Input Parameters'!C7*'User Input Parameters'!C8)/(60*'User Input Parameters'!C9))</f>
        <v>0.36660817636788451</v>
      </c>
      <c r="D2" s="4" t="s">
        <v>78</v>
      </c>
    </row>
    <row r="3" spans="1:4" ht="19.5" x14ac:dyDescent="0.35">
      <c r="A3" s="22" t="s">
        <v>71</v>
      </c>
      <c r="B3" s="15" t="s">
        <v>31</v>
      </c>
      <c r="C3" s="33">
        <f>$C$2*'Calculated Parameters'!C18</f>
        <v>0.36660817636788451</v>
      </c>
      <c r="D3" s="4" t="s">
        <v>79</v>
      </c>
    </row>
    <row r="4" spans="1:4" ht="19.5" x14ac:dyDescent="0.35">
      <c r="A4" s="22" t="s">
        <v>72</v>
      </c>
      <c r="B4" s="15" t="s">
        <v>31</v>
      </c>
      <c r="C4" s="33">
        <f>$C$2*'Calculated Parameters'!C19</f>
        <v>0.36660817636788451</v>
      </c>
      <c r="D4" s="4" t="s">
        <v>79</v>
      </c>
    </row>
    <row r="5" spans="1:4" ht="16.5" thickBot="1" x14ac:dyDescent="0.3">
      <c r="A5" s="23" t="s">
        <v>61</v>
      </c>
      <c r="B5" s="16" t="s">
        <v>62</v>
      </c>
      <c r="C5" s="34">
        <f>1-C4</f>
        <v>0.63339182363211544</v>
      </c>
    </row>
    <row r="6" spans="1:4" ht="16.5" thickBot="1" x14ac:dyDescent="0.3">
      <c r="B6" s="8"/>
    </row>
    <row r="7" spans="1:4" ht="19.5" x14ac:dyDescent="0.35">
      <c r="A7" s="12" t="s">
        <v>13</v>
      </c>
      <c r="B7" s="14" t="s">
        <v>29</v>
      </c>
      <c r="C7" s="35">
        <f>('Calculated Parameters'!C2*'Calculated Parameters'!C8)/'User Input Parameters'!C9</f>
        <v>2.2218677355629362E-2</v>
      </c>
    </row>
    <row r="8" spans="1:4" ht="20.25" thickBot="1" x14ac:dyDescent="0.4">
      <c r="A8" s="13" t="s">
        <v>14</v>
      </c>
      <c r="B8" s="16" t="s">
        <v>30</v>
      </c>
      <c r="C8" s="36">
        <f>60/('User Input Parameters'!C7*'User Input Parameters'!C8)</f>
        <v>6.0606060606060608E-2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85028119A284791BF26E190E85518" ma:contentTypeVersion="18" ma:contentTypeDescription="Create a new document." ma:contentTypeScope="" ma:versionID="287581935ac3e8bdc560be11043577be">
  <xsd:schema xmlns:xsd="http://www.w3.org/2001/XMLSchema" xmlns:xs="http://www.w3.org/2001/XMLSchema" xmlns:p="http://schemas.microsoft.com/office/2006/metadata/properties" xmlns:ns3="d5e7b9bd-fb3a-4179-8a1e-e45a81fe8c07" xmlns:ns4="f74a4ed1-c4d4-481f-b001-52f597590b0a" targetNamespace="http://schemas.microsoft.com/office/2006/metadata/properties" ma:root="true" ma:fieldsID="b67983a0cfcacf41422adb8cabc37c29" ns3:_="" ns4:_="">
    <xsd:import namespace="d5e7b9bd-fb3a-4179-8a1e-e45a81fe8c07"/>
    <xsd:import namespace="f74a4ed1-c4d4-481f-b001-52f597590b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7b9bd-fb3a-4179-8a1e-e45a81fe8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a4ed1-c4d4-481f-b001-52f597590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4a4ed1-c4d4-481f-b001-52f597590b0a" xsi:nil="true"/>
  </documentManagement>
</p:properties>
</file>

<file path=customXml/itemProps1.xml><?xml version="1.0" encoding="utf-8"?>
<ds:datastoreItem xmlns:ds="http://schemas.openxmlformats.org/officeDocument/2006/customXml" ds:itemID="{3D0D2E6B-4B9F-423D-97CA-0A463FC4DD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7D7058-BA7D-419A-B7E5-773F5DCB1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7b9bd-fb3a-4179-8a1e-e45a81fe8c07"/>
    <ds:schemaRef ds:uri="f74a4ed1-c4d4-481f-b001-52f597590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C62387-9E76-4442-8E88-65E8D2B60FAD}">
  <ds:schemaRefs>
    <ds:schemaRef ds:uri="http://purl.org/dc/terms/"/>
    <ds:schemaRef ds:uri="http://schemas.microsoft.com/office/2006/documentManagement/types"/>
    <ds:schemaRef ds:uri="http://purl.org/dc/elements/1.1/"/>
    <ds:schemaRef ds:uri="d5e7b9bd-fb3a-4179-8a1e-e45a81fe8c07"/>
    <ds:schemaRef ds:uri="f74a4ed1-c4d4-481f-b001-52f597590b0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 Parameters</vt:lpstr>
      <vt:lpstr>Calculated Parameters</vt:lpstr>
      <vt:lpstr>Strike 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Andrew Tuhtan</dc:creator>
  <cp:lastModifiedBy>Jeffrey Andrew Tuhtan</cp:lastModifiedBy>
  <dcterms:created xsi:type="dcterms:W3CDTF">2024-07-27T10:24:13Z</dcterms:created>
  <dcterms:modified xsi:type="dcterms:W3CDTF">2024-08-01T07:45:49Z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0x0101007BF85028119A284791BF26E190E85518</vt:lpwstr>
  </property>
</Properties>
</file>