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86692\Documents\Misc\"/>
    </mc:Choice>
  </mc:AlternateContent>
  <xr:revisionPtr revIDLastSave="0" documentId="13_ncr:1_{32FC3B78-D94D-4B2A-AEEC-939CF909B4E6}" xr6:coauthVersionLast="45" xr6:coauthVersionMax="45" xr10:uidLastSave="{00000000-0000-0000-0000-000000000000}"/>
  <bookViews>
    <workbookView xWindow="32310" yWindow="810" windowWidth="23010" windowHeight="16290" activeTab="1" xr2:uid="{2164970B-B3CA-480D-9386-3C9EBA59EA9E}"/>
  </bookViews>
  <sheets>
    <sheet name="Investing 10 Rule" sheetId="1" r:id="rId1"/>
    <sheet name="Retir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14" i="2"/>
  <c r="D5" i="2" l="1"/>
  <c r="D4" i="2" l="1"/>
  <c r="M169" i="1" l="1"/>
  <c r="B158" i="1"/>
  <c r="B159" i="1" l="1"/>
  <c r="C159" i="1" s="1"/>
  <c r="D44" i="2"/>
  <c r="D43" i="2"/>
  <c r="B160" i="1" l="1"/>
  <c r="C160" i="1" s="1"/>
  <c r="D72" i="2"/>
  <c r="D71" i="2"/>
  <c r="D65" i="2"/>
  <c r="D64" i="2"/>
  <c r="D70" i="2"/>
  <c r="D73" i="2" l="1"/>
  <c r="B161" i="1" l="1"/>
  <c r="C161" i="1" s="1"/>
  <c r="A182" i="1"/>
  <c r="B162" i="1" l="1"/>
  <c r="C162" i="1" s="1"/>
  <c r="D24" i="2"/>
  <c r="B163" i="1" l="1"/>
  <c r="C163" i="1" s="1"/>
  <c r="D49" i="2"/>
  <c r="B164" i="1" l="1"/>
  <c r="M147" i="1"/>
  <c r="D31" i="2"/>
  <c r="D53" i="2"/>
  <c r="D52" i="2"/>
  <c r="C164" i="1" l="1"/>
  <c r="B165" i="1" s="1"/>
  <c r="C165" i="1" s="1"/>
  <c r="D54" i="2"/>
  <c r="D51" i="2"/>
  <c r="D50" i="2"/>
  <c r="D26" i="2"/>
  <c r="D25" i="2"/>
  <c r="B166" i="1" l="1"/>
  <c r="C166" i="1" s="1"/>
  <c r="D55" i="2"/>
  <c r="B136" i="1"/>
  <c r="B137" i="1" s="1"/>
  <c r="C137" i="1" s="1"/>
  <c r="B167" i="1" l="1"/>
  <c r="B138" i="1"/>
  <c r="C138" i="1" s="1"/>
  <c r="B73" i="1"/>
  <c r="B74" i="1" s="1"/>
  <c r="C167" i="1" l="1"/>
  <c r="B168" i="1" s="1"/>
  <c r="C168" i="1" s="1"/>
  <c r="B139" i="1"/>
  <c r="C139" i="1" s="1"/>
  <c r="B75" i="1"/>
  <c r="D32" i="2"/>
  <c r="C170" i="1" l="1"/>
  <c r="D33" i="2"/>
  <c r="B140" i="1"/>
  <c r="C140" i="1" s="1"/>
  <c r="B76" i="1"/>
  <c r="B77" i="1" s="1"/>
  <c r="B50" i="1"/>
  <c r="B169" i="1" l="1"/>
  <c r="E157" i="1" s="1"/>
  <c r="B141" i="1"/>
  <c r="C141" i="1" s="1"/>
  <c r="B78" i="1"/>
  <c r="B51" i="1"/>
  <c r="C51" i="1" s="1"/>
  <c r="F157" i="1" l="1"/>
  <c r="E158" i="1" s="1"/>
  <c r="F158" i="1" s="1"/>
  <c r="B142" i="1"/>
  <c r="C142" i="1" s="1"/>
  <c r="B79" i="1"/>
  <c r="AD5" i="1"/>
  <c r="E159" i="1" l="1"/>
  <c r="F159" i="1" s="1"/>
  <c r="B143" i="1"/>
  <c r="C143" i="1" s="1"/>
  <c r="B80" i="1"/>
  <c r="B52" i="1"/>
  <c r="C52" i="1" s="1"/>
  <c r="AC6" i="1"/>
  <c r="E160" i="1" l="1"/>
  <c r="F160" i="1" s="1"/>
  <c r="B144" i="1"/>
  <c r="C144" i="1" s="1"/>
  <c r="B81" i="1"/>
  <c r="B82" i="1" s="1"/>
  <c r="C82" i="1" s="1"/>
  <c r="B83" i="1" s="1"/>
  <c r="C83" i="1" s="1"/>
  <c r="B84" i="1" s="1"/>
  <c r="B53" i="1"/>
  <c r="C53" i="1" s="1"/>
  <c r="AD6" i="1"/>
  <c r="E161" i="1" l="1"/>
  <c r="F161" i="1" s="1"/>
  <c r="B145" i="1"/>
  <c r="C84" i="1"/>
  <c r="B85" i="1" s="1"/>
  <c r="C85" i="1" s="1"/>
  <c r="B86" i="1" s="1"/>
  <c r="C86" i="1" s="1"/>
  <c r="B87" i="1" s="1"/>
  <c r="B54" i="1"/>
  <c r="C54" i="1" s="1"/>
  <c r="AC7" i="1"/>
  <c r="E162" i="1" l="1"/>
  <c r="C145" i="1"/>
  <c r="B146" i="1" s="1"/>
  <c r="C87" i="1"/>
  <c r="B88" i="1" s="1"/>
  <c r="B55" i="1"/>
  <c r="C55" i="1" s="1"/>
  <c r="AD7" i="1"/>
  <c r="B28" i="1"/>
  <c r="F162" i="1" l="1"/>
  <c r="E163" i="1" s="1"/>
  <c r="F163" i="1" s="1"/>
  <c r="C146" i="1"/>
  <c r="C88" i="1"/>
  <c r="B89" i="1" s="1"/>
  <c r="C89" i="1" s="1"/>
  <c r="B90" i="1" s="1"/>
  <c r="C90" i="1" s="1"/>
  <c r="B91" i="1" s="1"/>
  <c r="B56" i="1"/>
  <c r="C56" i="1" s="1"/>
  <c r="AC8" i="1"/>
  <c r="E164" i="1" l="1"/>
  <c r="F164" i="1" s="1"/>
  <c r="C148" i="1"/>
  <c r="B147" i="1"/>
  <c r="E135" i="1" s="1"/>
  <c r="F135" i="1" s="1"/>
  <c r="C91" i="1"/>
  <c r="B92" i="1" s="1"/>
  <c r="C92" i="1" s="1"/>
  <c r="B93" i="1" s="1"/>
  <c r="C93" i="1" s="1"/>
  <c r="B94" i="1" s="1"/>
  <c r="B57" i="1"/>
  <c r="C57" i="1" s="1"/>
  <c r="AD8" i="1"/>
  <c r="AC9" i="1" s="1"/>
  <c r="B29" i="1"/>
  <c r="C29" i="1" s="1"/>
  <c r="B6" i="1"/>
  <c r="E165" i="1" l="1"/>
  <c r="C94" i="1"/>
  <c r="B95" i="1" s="1"/>
  <c r="B58" i="1"/>
  <c r="C58" i="1" s="1"/>
  <c r="AD9" i="1"/>
  <c r="AC10" i="1" s="1"/>
  <c r="B30" i="1"/>
  <c r="C30" i="1" s="1"/>
  <c r="D13" i="2"/>
  <c r="E166" i="1" l="1"/>
  <c r="E136" i="1"/>
  <c r="F136" i="1" s="1"/>
  <c r="C95" i="1"/>
  <c r="B96" i="1" s="1"/>
  <c r="B59" i="1"/>
  <c r="C59" i="1" s="1"/>
  <c r="AD10" i="1"/>
  <c r="AC11" i="1" s="1"/>
  <c r="D15" i="2"/>
  <c r="B31" i="1"/>
  <c r="C31" i="1" s="1"/>
  <c r="B7" i="1"/>
  <c r="E167" i="1" l="1"/>
  <c r="C96" i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B60" i="1"/>
  <c r="C60" i="1" s="1"/>
  <c r="AD11" i="1"/>
  <c r="AC12" i="1" s="1"/>
  <c r="B32" i="1"/>
  <c r="C32" i="1" s="1"/>
  <c r="C7" i="1"/>
  <c r="E168" i="1" l="1"/>
  <c r="H157" i="1" s="1"/>
  <c r="E137" i="1"/>
  <c r="F137" i="1" s="1"/>
  <c r="C102" i="1"/>
  <c r="B103" i="1" s="1"/>
  <c r="C62" i="1"/>
  <c r="AD12" i="1"/>
  <c r="AC13" i="1" s="1"/>
  <c r="B33" i="1"/>
  <c r="C33" i="1" s="1"/>
  <c r="B8" i="1"/>
  <c r="C103" i="1" l="1"/>
  <c r="B104" i="1" s="1"/>
  <c r="E49" i="1"/>
  <c r="F49" i="1" s="1"/>
  <c r="B61" i="1"/>
  <c r="AD13" i="1"/>
  <c r="AC14" i="1" s="1"/>
  <c r="B34" i="1"/>
  <c r="C34" i="1" s="1"/>
  <c r="C8" i="1"/>
  <c r="B9" i="1" s="1"/>
  <c r="E169" i="1" l="1"/>
  <c r="H158" i="1"/>
  <c r="E138" i="1"/>
  <c r="F138" i="1" s="1"/>
  <c r="C104" i="1"/>
  <c r="B105" i="1" s="1"/>
  <c r="E50" i="1"/>
  <c r="F50" i="1" s="1"/>
  <c r="AD14" i="1"/>
  <c r="AC15" i="1" s="1"/>
  <c r="B35" i="1"/>
  <c r="C35" i="1" s="1"/>
  <c r="C9" i="1"/>
  <c r="B10" i="1" s="1"/>
  <c r="H159" i="1" l="1"/>
  <c r="E139" i="1"/>
  <c r="C105" i="1"/>
  <c r="B106" i="1" s="1"/>
  <c r="E51" i="1"/>
  <c r="F51" i="1" s="1"/>
  <c r="AD15" i="1"/>
  <c r="AC16" i="1" s="1"/>
  <c r="B36" i="1"/>
  <c r="C36" i="1" s="1"/>
  <c r="C10" i="1"/>
  <c r="B11" i="1" s="1"/>
  <c r="H160" i="1" l="1"/>
  <c r="F139" i="1"/>
  <c r="C106" i="1"/>
  <c r="B107" i="1" s="1"/>
  <c r="E52" i="1"/>
  <c r="F52" i="1" s="1"/>
  <c r="AD16" i="1"/>
  <c r="AD18" i="1" s="1"/>
  <c r="B37" i="1"/>
  <c r="C37" i="1" s="1"/>
  <c r="C11" i="1"/>
  <c r="B12" i="1" s="1"/>
  <c r="H161" i="1" l="1"/>
  <c r="E140" i="1"/>
  <c r="C107" i="1"/>
  <c r="B108" i="1" s="1"/>
  <c r="E53" i="1"/>
  <c r="F53" i="1" s="1"/>
  <c r="AF5" i="1"/>
  <c r="AC17" i="1"/>
  <c r="B38" i="1"/>
  <c r="C38" i="1" s="1"/>
  <c r="C12" i="1"/>
  <c r="B13" i="1" s="1"/>
  <c r="H162" i="1" l="1"/>
  <c r="F140" i="1"/>
  <c r="E141" i="1" s="1"/>
  <c r="C108" i="1"/>
  <c r="B109" i="1" s="1"/>
  <c r="E54" i="1"/>
  <c r="F54" i="1" s="1"/>
  <c r="AG5" i="1"/>
  <c r="AF6" i="1" s="1"/>
  <c r="AG6" i="1" s="1"/>
  <c r="AF7" i="1" s="1"/>
  <c r="AG7" i="1" s="1"/>
  <c r="AF8" i="1" s="1"/>
  <c r="C40" i="1"/>
  <c r="C13" i="1"/>
  <c r="B14" i="1" s="1"/>
  <c r="H163" i="1" l="1"/>
  <c r="F141" i="1"/>
  <c r="E142" i="1" s="1"/>
  <c r="C109" i="1"/>
  <c r="B110" i="1" s="1"/>
  <c r="E55" i="1"/>
  <c r="F55" i="1" s="1"/>
  <c r="AG8" i="1"/>
  <c r="AF9" i="1" s="1"/>
  <c r="AG9" i="1" s="1"/>
  <c r="AF10" i="1" s="1"/>
  <c r="AG10" i="1" s="1"/>
  <c r="AF11" i="1" s="1"/>
  <c r="E27" i="1"/>
  <c r="F27" i="1" s="1"/>
  <c r="B39" i="1"/>
  <c r="C14" i="1"/>
  <c r="B15" i="1" s="1"/>
  <c r="H164" i="1" l="1"/>
  <c r="H165" i="1" s="1"/>
  <c r="F142" i="1"/>
  <c r="E143" i="1" s="1"/>
  <c r="C110" i="1"/>
  <c r="B111" i="1" s="1"/>
  <c r="E56" i="1"/>
  <c r="F56" i="1" s="1"/>
  <c r="AG11" i="1"/>
  <c r="AF12" i="1" s="1"/>
  <c r="E28" i="1"/>
  <c r="F28" i="1" s="1"/>
  <c r="C15" i="1"/>
  <c r="B16" i="1" s="1"/>
  <c r="C16" i="1" s="1"/>
  <c r="F143" i="1" l="1"/>
  <c r="E144" i="1"/>
  <c r="F144" i="1" s="1"/>
  <c r="E145" i="1" s="1"/>
  <c r="F145" i="1" s="1"/>
  <c r="H166" i="1"/>
  <c r="H167" i="1" s="1"/>
  <c r="H168" i="1" s="1"/>
  <c r="H169" i="1" s="1"/>
  <c r="C111" i="1"/>
  <c r="B112" i="1" s="1"/>
  <c r="E57" i="1"/>
  <c r="AG12" i="1"/>
  <c r="AF13" i="1" s="1"/>
  <c r="AG13" i="1" s="1"/>
  <c r="AF14" i="1" s="1"/>
  <c r="AG14" i="1" s="1"/>
  <c r="AF15" i="1" s="1"/>
  <c r="B17" i="1"/>
  <c r="E146" i="1" l="1"/>
  <c r="C112" i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C18" i="1"/>
  <c r="F57" i="1"/>
  <c r="AG15" i="1"/>
  <c r="AF16" i="1" s="1"/>
  <c r="E29" i="1"/>
  <c r="F29" i="1" s="1"/>
  <c r="E5" i="1"/>
  <c r="E58" i="1" l="1"/>
  <c r="F58" i="1" s="1"/>
  <c r="E59" i="1" s="1"/>
  <c r="F59" i="1" s="1"/>
  <c r="F146" i="1"/>
  <c r="H135" i="1" s="1"/>
  <c r="AG16" i="1"/>
  <c r="AG18" i="1" s="1"/>
  <c r="F5" i="1"/>
  <c r="I135" i="1" l="1"/>
  <c r="H136" i="1" s="1"/>
  <c r="I136" i="1" s="1"/>
  <c r="E147" i="1"/>
  <c r="E60" i="1"/>
  <c r="F60" i="1" s="1"/>
  <c r="AI5" i="1"/>
  <c r="AF17" i="1"/>
  <c r="E30" i="1"/>
  <c r="F30" i="1" s="1"/>
  <c r="E6" i="1"/>
  <c r="H137" i="1" l="1"/>
  <c r="I137" i="1" s="1"/>
  <c r="F62" i="1"/>
  <c r="AJ5" i="1"/>
  <c r="AI6" i="1" s="1"/>
  <c r="AJ6" i="1" s="1"/>
  <c r="AI7" i="1" s="1"/>
  <c r="AJ7" i="1" s="1"/>
  <c r="AI8" i="1" s="1"/>
  <c r="E31" i="1"/>
  <c r="F31" i="1" s="1"/>
  <c r="F6" i="1"/>
  <c r="H138" i="1" l="1"/>
  <c r="I138" i="1" s="1"/>
  <c r="H49" i="1"/>
  <c r="I49" i="1" s="1"/>
  <c r="E61" i="1"/>
  <c r="AJ8" i="1"/>
  <c r="AI9" i="1" s="1"/>
  <c r="AJ9" i="1" s="1"/>
  <c r="AI10" i="1" s="1"/>
  <c r="E32" i="1"/>
  <c r="F32" i="1" s="1"/>
  <c r="E7" i="1"/>
  <c r="H139" i="1" l="1"/>
  <c r="I139" i="1" s="1"/>
  <c r="H50" i="1"/>
  <c r="I50" i="1" s="1"/>
  <c r="AJ10" i="1"/>
  <c r="AI11" i="1" s="1"/>
  <c r="AJ11" i="1" s="1"/>
  <c r="AI12" i="1" s="1"/>
  <c r="E33" i="1"/>
  <c r="F33" i="1" s="1"/>
  <c r="F7" i="1"/>
  <c r="H140" i="1" l="1"/>
  <c r="H51" i="1"/>
  <c r="I51" i="1" s="1"/>
  <c r="AJ12" i="1"/>
  <c r="AI13" i="1" s="1"/>
  <c r="AJ13" i="1" s="1"/>
  <c r="AI14" i="1" s="1"/>
  <c r="E34" i="1"/>
  <c r="F34" i="1" s="1"/>
  <c r="E8" i="1"/>
  <c r="H141" i="1" l="1"/>
  <c r="H52" i="1"/>
  <c r="I52" i="1" s="1"/>
  <c r="AJ14" i="1"/>
  <c r="AI15" i="1" s="1"/>
  <c r="E35" i="1"/>
  <c r="F35" i="1" s="1"/>
  <c r="F8" i="1"/>
  <c r="E9" i="1" s="1"/>
  <c r="H142" i="1" l="1"/>
  <c r="H53" i="1"/>
  <c r="AJ15" i="1"/>
  <c r="AI16" i="1" s="1"/>
  <c r="E36" i="1"/>
  <c r="F36" i="1" s="1"/>
  <c r="F9" i="1"/>
  <c r="E10" i="1" s="1"/>
  <c r="H143" i="1" l="1"/>
  <c r="I53" i="1"/>
  <c r="H54" i="1" s="1"/>
  <c r="AJ16" i="1"/>
  <c r="AJ18" i="1" s="1"/>
  <c r="E37" i="1"/>
  <c r="F37" i="1" s="1"/>
  <c r="F10" i="1"/>
  <c r="E11" i="1" s="1"/>
  <c r="H144" i="1" l="1"/>
  <c r="H145" i="1" s="1"/>
  <c r="H146" i="1" s="1"/>
  <c r="H147" i="1" s="1"/>
  <c r="I54" i="1"/>
  <c r="H55" i="1" s="1"/>
  <c r="I55" i="1" s="1"/>
  <c r="C123" i="1"/>
  <c r="AI17" i="1"/>
  <c r="E38" i="1"/>
  <c r="F38" i="1" s="1"/>
  <c r="F11" i="1"/>
  <c r="E12" i="1" s="1"/>
  <c r="B122" i="1" l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H56" i="1"/>
  <c r="I56" i="1" s="1"/>
  <c r="F40" i="1"/>
  <c r="H27" i="1"/>
  <c r="I27" i="1" s="1"/>
  <c r="E39" i="1"/>
  <c r="F12" i="1"/>
  <c r="E13" i="1" s="1"/>
  <c r="F77" i="1" l="1"/>
  <c r="E78" i="1" s="1"/>
  <c r="H57" i="1"/>
  <c r="I57" i="1" s="1"/>
  <c r="F13" i="1"/>
  <c r="E14" i="1" s="1"/>
  <c r="F78" i="1" l="1"/>
  <c r="E79" i="1" s="1"/>
  <c r="F79" i="1" s="1"/>
  <c r="E80" i="1" s="1"/>
  <c r="F80" i="1" s="1"/>
  <c r="E81" i="1" s="1"/>
  <c r="F81" i="1" s="1"/>
  <c r="E82" i="1" s="1"/>
  <c r="F82" i="1" s="1"/>
  <c r="E83" i="1" s="1"/>
  <c r="H58" i="1"/>
  <c r="I58" i="1" s="1"/>
  <c r="H28" i="1"/>
  <c r="I28" i="1" s="1"/>
  <c r="F14" i="1"/>
  <c r="E15" i="1" s="1"/>
  <c r="F83" i="1" l="1"/>
  <c r="E84" i="1" s="1"/>
  <c r="F84" i="1" s="1"/>
  <c r="E85" i="1" s="1"/>
  <c r="F85" i="1" s="1"/>
  <c r="E86" i="1" s="1"/>
  <c r="F86" i="1" s="1"/>
  <c r="E87" i="1" s="1"/>
  <c r="F87" i="1" s="1"/>
  <c r="E88" i="1" s="1"/>
  <c r="H59" i="1"/>
  <c r="I59" i="1" s="1"/>
  <c r="H29" i="1"/>
  <c r="I29" i="1" s="1"/>
  <c r="F15" i="1"/>
  <c r="E16" i="1" s="1"/>
  <c r="F88" i="1" l="1"/>
  <c r="E89" i="1" s="1"/>
  <c r="H60" i="1"/>
  <c r="H30" i="1"/>
  <c r="I30" i="1" s="1"/>
  <c r="F16" i="1"/>
  <c r="F18" i="1" s="1"/>
  <c r="F89" i="1" l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I60" i="1"/>
  <c r="K49" i="1" s="1"/>
  <c r="H31" i="1"/>
  <c r="I31" i="1" s="1"/>
  <c r="H5" i="1"/>
  <c r="I5" i="1" s="1"/>
  <c r="E17" i="1"/>
  <c r="F100" i="1" l="1"/>
  <c r="E101" i="1" s="1"/>
  <c r="I62" i="1"/>
  <c r="H61" i="1"/>
  <c r="L49" i="1"/>
  <c r="H32" i="1"/>
  <c r="I32" i="1" s="1"/>
  <c r="H6" i="1"/>
  <c r="I6" i="1" s="1"/>
  <c r="H7" i="1" s="1"/>
  <c r="F101" i="1" l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107" i="1" s="1"/>
  <c r="F107" i="1" s="1"/>
  <c r="E108" i="1" s="1"/>
  <c r="F108" i="1" s="1"/>
  <c r="E109" i="1" s="1"/>
  <c r="F109" i="1" s="1"/>
  <c r="E110" i="1" s="1"/>
  <c r="F110" i="1" s="1"/>
  <c r="E111" i="1" s="1"/>
  <c r="K50" i="1"/>
  <c r="L50" i="1" s="1"/>
  <c r="H33" i="1"/>
  <c r="I33" i="1" s="1"/>
  <c r="I7" i="1"/>
  <c r="H8" i="1" s="1"/>
  <c r="F111" i="1" l="1"/>
  <c r="E112" i="1" s="1"/>
  <c r="F112" i="1" s="1"/>
  <c r="E113" i="1" s="1"/>
  <c r="F113" i="1" s="1"/>
  <c r="E114" i="1" s="1"/>
  <c r="F114" i="1" s="1"/>
  <c r="E115" i="1" s="1"/>
  <c r="K51" i="1"/>
  <c r="L51" i="1" s="1"/>
  <c r="H34" i="1"/>
  <c r="I34" i="1" s="1"/>
  <c r="I8" i="1"/>
  <c r="H9" i="1" s="1"/>
  <c r="F115" i="1" l="1"/>
  <c r="E116" i="1" s="1"/>
  <c r="H35" i="1"/>
  <c r="I35" i="1" s="1"/>
  <c r="I9" i="1"/>
  <c r="F116" i="1" l="1"/>
  <c r="E117" i="1" s="1"/>
  <c r="K52" i="1"/>
  <c r="L52" i="1" s="1"/>
  <c r="H36" i="1"/>
  <c r="I36" i="1" s="1"/>
  <c r="H10" i="1"/>
  <c r="F117" i="1" l="1"/>
  <c r="E118" i="1" s="1"/>
  <c r="H37" i="1"/>
  <c r="I37" i="1" s="1"/>
  <c r="I10" i="1"/>
  <c r="H11" i="1" s="1"/>
  <c r="F118" i="1" l="1"/>
  <c r="E119" i="1" s="1"/>
  <c r="K53" i="1"/>
  <c r="L53" i="1" s="1"/>
  <c r="H38" i="1"/>
  <c r="I11" i="1"/>
  <c r="H12" i="1" s="1"/>
  <c r="F119" i="1" l="1"/>
  <c r="E120" i="1" s="1"/>
  <c r="K54" i="1"/>
  <c r="L54" i="1" s="1"/>
  <c r="I38" i="1"/>
  <c r="K27" i="1" s="1"/>
  <c r="I12" i="1"/>
  <c r="H13" i="1" s="1"/>
  <c r="L27" i="1" l="1"/>
  <c r="F120" i="1"/>
  <c r="E121" i="1" s="1"/>
  <c r="I40" i="1"/>
  <c r="K55" i="1"/>
  <c r="H39" i="1"/>
  <c r="I13" i="1"/>
  <c r="H14" i="1" s="1"/>
  <c r="F121" i="1" l="1"/>
  <c r="F123" i="1" s="1"/>
  <c r="L55" i="1"/>
  <c r="K56" i="1" s="1"/>
  <c r="I14" i="1"/>
  <c r="H15" i="1" s="1"/>
  <c r="E122" i="1" l="1"/>
  <c r="H72" i="1" s="1"/>
  <c r="L56" i="1"/>
  <c r="K28" i="1"/>
  <c r="L28" i="1" s="1"/>
  <c r="I15" i="1"/>
  <c r="H16" i="1" s="1"/>
  <c r="I72" i="1" l="1"/>
  <c r="H73" i="1" s="1"/>
  <c r="I73" i="1" s="1"/>
  <c r="H74" i="1" s="1"/>
  <c r="I74" i="1" s="1"/>
  <c r="H75" i="1" s="1"/>
  <c r="I75" i="1" s="1"/>
  <c r="H76" i="1" s="1"/>
  <c r="I76" i="1" s="1"/>
  <c r="H77" i="1" s="1"/>
  <c r="K57" i="1"/>
  <c r="L57" i="1" s="1"/>
  <c r="K58" i="1" s="1"/>
  <c r="I16" i="1"/>
  <c r="I18" i="1" s="1"/>
  <c r="I77" i="1" l="1"/>
  <c r="H78" i="1" s="1"/>
  <c r="L58" i="1"/>
  <c r="K59" i="1" s="1"/>
  <c r="K29" i="1"/>
  <c r="L29" i="1" s="1"/>
  <c r="H17" i="1"/>
  <c r="K5" i="1"/>
  <c r="I78" i="1" l="1"/>
  <c r="H79" i="1" s="1"/>
  <c r="I79" i="1" s="1"/>
  <c r="H80" i="1" s="1"/>
  <c r="L59" i="1"/>
  <c r="K60" i="1" s="1"/>
  <c r="L5" i="1"/>
  <c r="I80" i="1" l="1"/>
  <c r="H81" i="1" s="1"/>
  <c r="L60" i="1"/>
  <c r="L62" i="1" s="1"/>
  <c r="K30" i="1"/>
  <c r="L30" i="1" s="1"/>
  <c r="K6" i="1"/>
  <c r="K61" i="1" l="1"/>
  <c r="N49" i="1" s="1"/>
  <c r="O49" i="1" s="1"/>
  <c r="I81" i="1"/>
  <c r="H82" i="1" s="1"/>
  <c r="I82" i="1" s="1"/>
  <c r="H83" i="1" s="1"/>
  <c r="I83" i="1" s="1"/>
  <c r="H84" i="1" s="1"/>
  <c r="I84" i="1" s="1"/>
  <c r="H85" i="1" s="1"/>
  <c r="K31" i="1"/>
  <c r="L6" i="1"/>
  <c r="K7" i="1" s="1"/>
  <c r="L31" i="1" l="1"/>
  <c r="K32" i="1" s="1"/>
  <c r="L32" i="1" s="1"/>
  <c r="I85" i="1"/>
  <c r="H86" i="1" s="1"/>
  <c r="I86" i="1" s="1"/>
  <c r="H87" i="1" s="1"/>
  <c r="I87" i="1" s="1"/>
  <c r="H88" i="1" s="1"/>
  <c r="N50" i="1"/>
  <c r="O50" i="1" s="1"/>
  <c r="L7" i="1"/>
  <c r="K8" i="1" s="1"/>
  <c r="I88" i="1" l="1"/>
  <c r="H89" i="1" s="1"/>
  <c r="N51" i="1"/>
  <c r="O51" i="1" s="1"/>
  <c r="K33" i="1"/>
  <c r="L8" i="1"/>
  <c r="L33" i="1" l="1"/>
  <c r="K34" i="1" s="1"/>
  <c r="I89" i="1"/>
  <c r="H90" i="1" s="1"/>
  <c r="I90" i="1" s="1"/>
  <c r="H91" i="1" s="1"/>
  <c r="I91" i="1" s="1"/>
  <c r="H92" i="1" s="1"/>
  <c r="I92" i="1" s="1"/>
  <c r="H93" i="1" s="1"/>
  <c r="N52" i="1"/>
  <c r="O52" i="1" s="1"/>
  <c r="K9" i="1"/>
  <c r="L34" i="1" l="1"/>
  <c r="K35" i="1" s="1"/>
  <c r="L35" i="1" s="1"/>
  <c r="I93" i="1"/>
  <c r="H94" i="1" s="1"/>
  <c r="I94" i="1" s="1"/>
  <c r="H95" i="1" s="1"/>
  <c r="I95" i="1" s="1"/>
  <c r="H96" i="1" s="1"/>
  <c r="N53" i="1"/>
  <c r="L9" i="1"/>
  <c r="K10" i="1" s="1"/>
  <c r="I96" i="1" l="1"/>
  <c r="H97" i="1" s="1"/>
  <c r="O53" i="1"/>
  <c r="N54" i="1" s="1"/>
  <c r="K36" i="1"/>
  <c r="L36" i="1" s="1"/>
  <c r="L10" i="1"/>
  <c r="K11" i="1" s="1"/>
  <c r="O54" i="1" l="1"/>
  <c r="N55" i="1" s="1"/>
  <c r="O55" i="1" s="1"/>
  <c r="I97" i="1"/>
  <c r="H98" i="1" s="1"/>
  <c r="I98" i="1" s="1"/>
  <c r="H99" i="1" s="1"/>
  <c r="I99" i="1" s="1"/>
  <c r="H100" i="1" s="1"/>
  <c r="K37" i="1"/>
  <c r="L37" i="1" s="1"/>
  <c r="L11" i="1"/>
  <c r="K12" i="1" s="1"/>
  <c r="I100" i="1" l="1"/>
  <c r="H101" i="1" s="1"/>
  <c r="N56" i="1"/>
  <c r="O56" i="1" s="1"/>
  <c r="K38" i="1"/>
  <c r="L12" i="1"/>
  <c r="K13" i="1" s="1"/>
  <c r="I101" i="1" l="1"/>
  <c r="H102" i="1" s="1"/>
  <c r="I102" i="1" s="1"/>
  <c r="H103" i="1" s="1"/>
  <c r="I103" i="1" s="1"/>
  <c r="H104" i="1" s="1"/>
  <c r="N57" i="1"/>
  <c r="L38" i="1"/>
  <c r="N27" i="1" s="1"/>
  <c r="L13" i="1"/>
  <c r="K14" i="1" s="1"/>
  <c r="I104" i="1" l="1"/>
  <c r="H105" i="1" s="1"/>
  <c r="O27" i="1"/>
  <c r="L40" i="1"/>
  <c r="O57" i="1"/>
  <c r="N58" i="1" s="1"/>
  <c r="K39" i="1"/>
  <c r="L14" i="1"/>
  <c r="K15" i="1" s="1"/>
  <c r="I105" i="1" l="1"/>
  <c r="H106" i="1" s="1"/>
  <c r="I106" i="1" s="1"/>
  <c r="H107" i="1" s="1"/>
  <c r="I107" i="1" s="1"/>
  <c r="H108" i="1" s="1"/>
  <c r="O58" i="1"/>
  <c r="N59" i="1" s="1"/>
  <c r="O59" i="1" s="1"/>
  <c r="L15" i="1"/>
  <c r="K16" i="1" s="1"/>
  <c r="L16" i="1" s="1"/>
  <c r="I108" i="1" l="1"/>
  <c r="H109" i="1"/>
  <c r="N60" i="1"/>
  <c r="O60" i="1" s="1"/>
  <c r="N28" i="1"/>
  <c r="O28" i="1" s="1"/>
  <c r="L18" i="1"/>
  <c r="I109" i="1" l="1"/>
  <c r="H110" i="1" s="1"/>
  <c r="I110" i="1" s="1"/>
  <c r="H111" i="1" s="1"/>
  <c r="I111" i="1" s="1"/>
  <c r="H112" i="1" s="1"/>
  <c r="I112" i="1" s="1"/>
  <c r="H113" i="1" s="1"/>
  <c r="I113" i="1" s="1"/>
  <c r="H114" i="1" s="1"/>
  <c r="I114" i="1" s="1"/>
  <c r="H115" i="1" s="1"/>
  <c r="I115" i="1" s="1"/>
  <c r="H116" i="1" s="1"/>
  <c r="I116" i="1" s="1"/>
  <c r="H117" i="1" s="1"/>
  <c r="I117" i="1" s="1"/>
  <c r="H118" i="1" s="1"/>
  <c r="I118" i="1" s="1"/>
  <c r="H119" i="1" s="1"/>
  <c r="I119" i="1" s="1"/>
  <c r="H120" i="1" s="1"/>
  <c r="I120" i="1" s="1"/>
  <c r="H121" i="1" s="1"/>
  <c r="Q49" i="1"/>
  <c r="R49" i="1" s="1"/>
  <c r="O62" i="1"/>
  <c r="N61" i="1"/>
  <c r="K17" i="1"/>
  <c r="N5" i="1"/>
  <c r="I121" i="1" l="1"/>
  <c r="I123" i="1" s="1"/>
  <c r="Q50" i="1"/>
  <c r="R50" i="1" s="1"/>
  <c r="N29" i="1"/>
  <c r="O29" i="1" s="1"/>
  <c r="O5" i="1"/>
  <c r="N6" i="1" s="1"/>
  <c r="H122" i="1" l="1"/>
  <c r="K72" i="1" s="1"/>
  <c r="L72" i="1" s="1"/>
  <c r="O6" i="1"/>
  <c r="N7" i="1" s="1"/>
  <c r="K73" i="1" l="1"/>
  <c r="L73" i="1" s="1"/>
  <c r="K74" i="1" s="1"/>
  <c r="L74" i="1" s="1"/>
  <c r="Q51" i="1"/>
  <c r="R51" i="1" s="1"/>
  <c r="N30" i="1"/>
  <c r="O30" i="1" s="1"/>
  <c r="O7" i="1"/>
  <c r="K75" i="1" l="1"/>
  <c r="Q52" i="1"/>
  <c r="R52" i="1" s="1"/>
  <c r="N31" i="1"/>
  <c r="O31" i="1" s="1"/>
  <c r="N8" i="1"/>
  <c r="L75" i="1" l="1"/>
  <c r="K76" i="1" s="1"/>
  <c r="N32" i="1"/>
  <c r="O32" i="1" s="1"/>
  <c r="O8" i="1"/>
  <c r="L76" i="1" l="1"/>
  <c r="Q53" i="1"/>
  <c r="R53" i="1" s="1"/>
  <c r="N33" i="1"/>
  <c r="O33" i="1" s="1"/>
  <c r="N9" i="1"/>
  <c r="K77" i="1" l="1"/>
  <c r="L77" i="1" s="1"/>
  <c r="K78" i="1" s="1"/>
  <c r="L78" i="1" s="1"/>
  <c r="K79" i="1" s="1"/>
  <c r="L79" i="1" s="1"/>
  <c r="K80" i="1" s="1"/>
  <c r="L80" i="1" s="1"/>
  <c r="K81" i="1" s="1"/>
  <c r="L81" i="1" s="1"/>
  <c r="K82" i="1" s="1"/>
  <c r="L82" i="1" s="1"/>
  <c r="K83" i="1" s="1"/>
  <c r="L83" i="1" s="1"/>
  <c r="K84" i="1" s="1"/>
  <c r="Q54" i="1"/>
  <c r="N34" i="1"/>
  <c r="O34" i="1" s="1"/>
  <c r="O9" i="1"/>
  <c r="N10" i="1" s="1"/>
  <c r="Q55" i="1" l="1"/>
  <c r="R55" i="1" s="1"/>
  <c r="R54" i="1"/>
  <c r="L84" i="1"/>
  <c r="K85" i="1" s="1"/>
  <c r="N35" i="1"/>
  <c r="O10" i="1"/>
  <c r="N11" i="1" s="1"/>
  <c r="O35" i="1" l="1"/>
  <c r="N36" i="1" s="1"/>
  <c r="O36" i="1" s="1"/>
  <c r="N37" i="1" s="1"/>
  <c r="L85" i="1"/>
  <c r="K86" i="1" s="1"/>
  <c r="L86" i="1" s="1"/>
  <c r="K87" i="1" s="1"/>
  <c r="L87" i="1" s="1"/>
  <c r="K88" i="1" s="1"/>
  <c r="L88" i="1" s="1"/>
  <c r="K89" i="1" s="1"/>
  <c r="Q56" i="1"/>
  <c r="R56" i="1" s="1"/>
  <c r="O11" i="1"/>
  <c r="N12" i="1" s="1"/>
  <c r="L89" i="1" l="1"/>
  <c r="K90" i="1" s="1"/>
  <c r="L90" i="1" s="1"/>
  <c r="K91" i="1" s="1"/>
  <c r="L91" i="1" s="1"/>
  <c r="K92" i="1" s="1"/>
  <c r="L92" i="1" s="1"/>
  <c r="K93" i="1" s="1"/>
  <c r="O37" i="1"/>
  <c r="O12" i="1"/>
  <c r="N13" i="1" s="1"/>
  <c r="L93" i="1" l="1"/>
  <c r="K94" i="1" s="1"/>
  <c r="L94" i="1" s="1"/>
  <c r="K95" i="1" s="1"/>
  <c r="L95" i="1" s="1"/>
  <c r="K96" i="1" s="1"/>
  <c r="L96" i="1" s="1"/>
  <c r="K97" i="1" s="1"/>
  <c r="Q57" i="1"/>
  <c r="N38" i="1"/>
  <c r="O13" i="1"/>
  <c r="N14" i="1" s="1"/>
  <c r="R57" i="1" l="1"/>
  <c r="Q58" i="1" s="1"/>
  <c r="R58" i="1" s="1"/>
  <c r="L97" i="1"/>
  <c r="K98" i="1" s="1"/>
  <c r="L98" i="1" s="1"/>
  <c r="K99" i="1" s="1"/>
  <c r="L99" i="1" s="1"/>
  <c r="K100" i="1" s="1"/>
  <c r="O38" i="1"/>
  <c r="Q27" i="1" s="1"/>
  <c r="O14" i="1"/>
  <c r="N15" i="1" s="1"/>
  <c r="Q59" i="1" l="1"/>
  <c r="R59" i="1" s="1"/>
  <c r="L100" i="1"/>
  <c r="K101" i="1" s="1"/>
  <c r="O40" i="1"/>
  <c r="R27" i="1"/>
  <c r="Q28" i="1" s="1"/>
  <c r="R28" i="1" s="1"/>
  <c r="N39" i="1"/>
  <c r="O15" i="1"/>
  <c r="N16" i="1" s="1"/>
  <c r="O16" i="1" s="1"/>
  <c r="Q60" i="1" l="1"/>
  <c r="L101" i="1"/>
  <c r="K102" i="1" s="1"/>
  <c r="L102" i="1" s="1"/>
  <c r="K103" i="1" s="1"/>
  <c r="L103" i="1" s="1"/>
  <c r="K104" i="1" s="1"/>
  <c r="Q29" i="1"/>
  <c r="R29" i="1" s="1"/>
  <c r="O18" i="1"/>
  <c r="R60" i="1" l="1"/>
  <c r="R62" i="1" s="1"/>
  <c r="L104" i="1"/>
  <c r="K105" i="1" s="1"/>
  <c r="L105" i="1" s="1"/>
  <c r="Q5" i="1"/>
  <c r="R5" i="1" s="1"/>
  <c r="N17" i="1"/>
  <c r="Q61" i="1" l="1"/>
  <c r="T55" i="1" s="1"/>
  <c r="T61" i="1" s="1"/>
  <c r="K106" i="1"/>
  <c r="Q30" i="1"/>
  <c r="R30" i="1" s="1"/>
  <c r="Q6" i="1"/>
  <c r="L106" i="1" l="1"/>
  <c r="K107" i="1" s="1"/>
  <c r="Q31" i="1"/>
  <c r="R31" i="1" s="1"/>
  <c r="R6" i="1"/>
  <c r="L107" i="1" l="1"/>
  <c r="K108" i="1" s="1"/>
  <c r="Q32" i="1"/>
  <c r="R32" i="1" s="1"/>
  <c r="Q7" i="1"/>
  <c r="L108" i="1" l="1"/>
  <c r="K109" i="1" s="1"/>
  <c r="Q33" i="1"/>
  <c r="R33" i="1" s="1"/>
  <c r="R7" i="1"/>
  <c r="L109" i="1" l="1"/>
  <c r="K110" i="1" s="1"/>
  <c r="Q34" i="1"/>
  <c r="R34" i="1" s="1"/>
  <c r="Q8" i="1"/>
  <c r="L110" i="1" l="1"/>
  <c r="Q35" i="1"/>
  <c r="R35" i="1" s="1"/>
  <c r="R8" i="1"/>
  <c r="Q9" i="1" s="1"/>
  <c r="K111" i="1" l="1"/>
  <c r="Q36" i="1"/>
  <c r="R36" i="1" s="1"/>
  <c r="R9" i="1"/>
  <c r="Q10" i="1" s="1"/>
  <c r="L111" i="1" l="1"/>
  <c r="K112" i="1" s="1"/>
  <c r="Q37" i="1"/>
  <c r="R37" i="1" s="1"/>
  <c r="R10" i="1"/>
  <c r="Q11" i="1" s="1"/>
  <c r="L112" i="1" l="1"/>
  <c r="K113" i="1" s="1"/>
  <c r="Q38" i="1"/>
  <c r="R11" i="1"/>
  <c r="Q12" i="1" s="1"/>
  <c r="L113" i="1" l="1"/>
  <c r="R38" i="1"/>
  <c r="T27" i="1" s="1"/>
  <c r="R12" i="1"/>
  <c r="Q13" i="1" s="1"/>
  <c r="K114" i="1" l="1"/>
  <c r="U27" i="1"/>
  <c r="T28" i="1" s="1"/>
  <c r="U28" i="1" s="1"/>
  <c r="T29" i="1" s="1"/>
  <c r="U29" i="1" s="1"/>
  <c r="T30" i="1" s="1"/>
  <c r="R40" i="1"/>
  <c r="Q39" i="1"/>
  <c r="R13" i="1"/>
  <c r="Q14" i="1" s="1"/>
  <c r="L114" i="1" l="1"/>
  <c r="U30" i="1"/>
  <c r="T31" i="1" s="1"/>
  <c r="U31" i="1" s="1"/>
  <c r="T32" i="1" s="1"/>
  <c r="R14" i="1"/>
  <c r="Q15" i="1" s="1"/>
  <c r="K115" i="1" l="1"/>
  <c r="U32" i="1"/>
  <c r="R15" i="1"/>
  <c r="Q16" i="1" s="1"/>
  <c r="T33" i="1" l="1"/>
  <c r="U33" i="1" s="1"/>
  <c r="T34" i="1" s="1"/>
  <c r="U34" i="1" s="1"/>
  <c r="T35" i="1" s="1"/>
  <c r="L115" i="1"/>
  <c r="K116" i="1" s="1"/>
  <c r="R16" i="1"/>
  <c r="T5" i="1" s="1"/>
  <c r="L116" i="1" l="1"/>
  <c r="K117" i="1" s="1"/>
  <c r="R18" i="1"/>
  <c r="U5" i="1"/>
  <c r="T6" i="1" s="1"/>
  <c r="U35" i="1"/>
  <c r="T36" i="1" s="1"/>
  <c r="U36" i="1" s="1"/>
  <c r="T37" i="1" s="1"/>
  <c r="U37" i="1" s="1"/>
  <c r="T38" i="1" s="1"/>
  <c r="Q17" i="1"/>
  <c r="L117" i="1" l="1"/>
  <c r="U6" i="1"/>
  <c r="T7" i="1" s="1"/>
  <c r="U38" i="1"/>
  <c r="U40" i="1" s="1"/>
  <c r="T39" i="1" l="1"/>
  <c r="W27" i="1"/>
  <c r="K118" i="1"/>
  <c r="U7" i="1"/>
  <c r="T8" i="1" s="1"/>
  <c r="L118" i="1" l="1"/>
  <c r="U8" i="1"/>
  <c r="T9" i="1" s="1"/>
  <c r="U9" i="1" s="1"/>
  <c r="T10" i="1" s="1"/>
  <c r="U10" i="1" s="1"/>
  <c r="T11" i="1" s="1"/>
  <c r="U11" i="1" s="1"/>
  <c r="T12" i="1" s="1"/>
  <c r="U12" i="1" s="1"/>
  <c r="T13" i="1" s="1"/>
  <c r="X27" i="1"/>
  <c r="W28" i="1" s="1"/>
  <c r="X28" i="1" s="1"/>
  <c r="W29" i="1" s="1"/>
  <c r="K119" i="1" l="1"/>
  <c r="U13" i="1"/>
  <c r="T14" i="1" s="1"/>
  <c r="U14" i="1" s="1"/>
  <c r="T15" i="1" s="1"/>
  <c r="U15" i="1" s="1"/>
  <c r="T16" i="1" s="1"/>
  <c r="U16" i="1" s="1"/>
  <c r="X29" i="1"/>
  <c r="W30" i="1" s="1"/>
  <c r="X30" i="1" s="1"/>
  <c r="W31" i="1" s="1"/>
  <c r="X31" i="1" s="1"/>
  <c r="W32" i="1" s="1"/>
  <c r="X32" i="1" s="1"/>
  <c r="W33" i="1" s="1"/>
  <c r="X33" i="1" s="1"/>
  <c r="W34" i="1" s="1"/>
  <c r="L119" i="1" l="1"/>
  <c r="U18" i="1"/>
  <c r="X34" i="1"/>
  <c r="W35" i="1" s="1"/>
  <c r="X35" i="1" s="1"/>
  <c r="W36" i="1" s="1"/>
  <c r="X36" i="1" s="1"/>
  <c r="W37" i="1" s="1"/>
  <c r="X37" i="1" s="1"/>
  <c r="W38" i="1" s="1"/>
  <c r="K120" i="1" l="1"/>
  <c r="T17" i="1"/>
  <c r="W5" i="1"/>
  <c r="X38" i="1"/>
  <c r="L120" i="1" l="1"/>
  <c r="K121" i="1" s="1"/>
  <c r="W39" i="1"/>
  <c r="X5" i="1"/>
  <c r="W6" i="1" s="1"/>
  <c r="X6" i="1" s="1"/>
  <c r="W7" i="1" s="1"/>
  <c r="X7" i="1" s="1"/>
  <c r="W8" i="1" s="1"/>
  <c r="X8" i="1" s="1"/>
  <c r="W9" i="1" s="1"/>
  <c r="X9" i="1" s="1"/>
  <c r="W10" i="1" s="1"/>
  <c r="L121" i="1" l="1"/>
  <c r="L123" i="1" s="1"/>
  <c r="X10" i="1"/>
  <c r="W11" i="1" s="1"/>
  <c r="X11" i="1" s="1"/>
  <c r="W12" i="1" s="1"/>
  <c r="X12" i="1" s="1"/>
  <c r="W13" i="1" s="1"/>
  <c r="X13" i="1" s="1"/>
  <c r="W14" i="1" s="1"/>
  <c r="X14" i="1" s="1"/>
  <c r="W15" i="1" s="1"/>
  <c r="X15" i="1" s="1"/>
  <c r="W16" i="1" s="1"/>
  <c r="K122" i="1" l="1"/>
  <c r="N72" i="1" s="1"/>
  <c r="X16" i="1"/>
  <c r="X18" i="1" s="1"/>
  <c r="N73" i="1" l="1"/>
  <c r="W17" i="1"/>
  <c r="Z5" i="1"/>
  <c r="N74" i="1" l="1"/>
  <c r="N75" i="1" s="1"/>
  <c r="N76" i="1" s="1"/>
  <c r="AA5" i="1"/>
  <c r="Z6" i="1" s="1"/>
  <c r="N77" i="1" l="1"/>
  <c r="N78" i="1" s="1"/>
  <c r="AA6" i="1"/>
  <c r="Z7" i="1" s="1"/>
  <c r="N79" i="1" l="1"/>
  <c r="AA7" i="1"/>
  <c r="Z8" i="1" s="1"/>
  <c r="AA8" i="1" s="1"/>
  <c r="Z9" i="1" s="1"/>
  <c r="AA9" i="1" s="1"/>
  <c r="Z10" i="1" s="1"/>
  <c r="AA10" i="1" s="1"/>
  <c r="Z11" i="1" s="1"/>
  <c r="AA11" i="1" s="1"/>
  <c r="Z12" i="1" s="1"/>
  <c r="AA12" i="1" s="1"/>
  <c r="Z13" i="1" s="1"/>
  <c r="N80" i="1" l="1"/>
  <c r="AA13" i="1"/>
  <c r="Z14" i="1" s="1"/>
  <c r="N81" i="1" l="1"/>
  <c r="N82" i="1" s="1"/>
  <c r="AA14" i="1"/>
  <c r="Z15" i="1" s="1"/>
  <c r="AA15" i="1" s="1"/>
  <c r="Z16" i="1" s="1"/>
  <c r="N83" i="1" l="1"/>
  <c r="AA16" i="1"/>
  <c r="AA18" i="1" s="1"/>
  <c r="N84" i="1" l="1"/>
  <c r="Z17" i="1"/>
  <c r="N85" i="1" l="1"/>
  <c r="N86" i="1" s="1"/>
  <c r="N87" i="1" l="1"/>
  <c r="N88" i="1" l="1"/>
  <c r="N89" i="1" l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Q122" i="1" s="1"/>
  <c r="T103" i="1" s="1"/>
</calcChain>
</file>

<file path=xl/sharedStrings.xml><?xml version="1.0" encoding="utf-8"?>
<sst xmlns="http://schemas.openxmlformats.org/spreadsheetml/2006/main" count="1270" uniqueCount="251">
  <si>
    <t>Principal</t>
  </si>
  <si>
    <t>Interest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</si>
  <si>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</si>
  <si>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</si>
  <si>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</si>
  <si>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</si>
  <si>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</si>
  <si>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</si>
  <si>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</si>
  <si>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</si>
  <si>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</si>
  <si>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</si>
  <si>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</si>
  <si>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</si>
  <si>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</si>
  <si>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 Total</t>
  </si>
  <si>
    <t>Site</t>
  </si>
  <si>
    <t>Sub</t>
  </si>
  <si>
    <t>Amount</t>
  </si>
  <si>
    <t>Notes</t>
  </si>
  <si>
    <t>Jason</t>
  </si>
  <si>
    <t>20 year plan Jason</t>
  </si>
  <si>
    <t>Adriana</t>
  </si>
  <si>
    <t>20 year plan Adriana</t>
  </si>
  <si>
    <t>Housing Fund</t>
  </si>
  <si>
    <t>House, furniture, cars, travel, etc</t>
  </si>
  <si>
    <t>Retirement</t>
  </si>
  <si>
    <t>Mom</t>
  </si>
  <si>
    <t>Spread over 20 years or 1 lump sum tax free</t>
  </si>
  <si>
    <t>In-Laws</t>
  </si>
  <si>
    <t>Adri Mom and Dad</t>
  </si>
  <si>
    <t>Tim Life</t>
  </si>
  <si>
    <t>Tim Life Fund</t>
  </si>
  <si>
    <t>Life payments, retirement, etc…</t>
  </si>
  <si>
    <t>Tim/Sabs/Andres allowances</t>
  </si>
  <si>
    <t>Kids Retire</t>
  </si>
  <si>
    <t>Kids Retirement Funds</t>
  </si>
  <si>
    <t>15k yearly tax free for 10 years</t>
  </si>
  <si>
    <t>2030 Retirement Strategy</t>
  </si>
  <si>
    <t>Long Term Retirement</t>
  </si>
  <si>
    <t>Millionaire Times</t>
  </si>
  <si>
    <t>TD+Schwab</t>
  </si>
  <si>
    <t>Refinance House no PMI</t>
  </si>
  <si>
    <t>Description</t>
  </si>
  <si>
    <t>payoff 250k house</t>
  </si>
  <si>
    <t>Self Employed 200k</t>
  </si>
  <si>
    <t>Retired and self 200k</t>
  </si>
  <si>
    <t>invest 5k end year</t>
  </si>
  <si>
    <t>10% conservative monthly planner</t>
  </si>
  <si>
    <t>Retired</t>
  </si>
  <si>
    <t>New Plan start with 9m</t>
  </si>
  <si>
    <t>End of Year and Age 65 Jan 2033</t>
  </si>
  <si>
    <t>Pay off Bruce</t>
  </si>
  <si>
    <t>Working on PMI Elimination</t>
  </si>
  <si>
    <t>Finalize PMI Removal</t>
  </si>
  <si>
    <t>Finish 401k Loan</t>
  </si>
  <si>
    <t>20% mid-conservative monthly planner</t>
  </si>
  <si>
    <t>Backyard Patio and Swimming Pool</t>
  </si>
  <si>
    <t>Private Jet Charter Card</t>
  </si>
  <si>
    <t>Honda Ridgeline Purchase</t>
  </si>
  <si>
    <t>Dividend Plan w/ 800m @20m yearly</t>
  </si>
  <si>
    <t>Gift Mia to Sabs for College Degree</t>
  </si>
  <si>
    <t>Payoff Bruce</t>
  </si>
  <si>
    <t>USA Citizeship 4 Adri&amp;Kids</t>
  </si>
  <si>
    <t>Lease Private Jet Ownership</t>
  </si>
  <si>
    <t>Move Investments to Dividends/Mutual Funds</t>
  </si>
  <si>
    <t>Balance</t>
  </si>
  <si>
    <t>Age 53</t>
  </si>
  <si>
    <t>Age 54</t>
  </si>
  <si>
    <t>Age 55</t>
  </si>
  <si>
    <t>Age 56</t>
  </si>
  <si>
    <t>Age 57</t>
  </si>
  <si>
    <t>Age 58</t>
  </si>
  <si>
    <t>Age 59</t>
  </si>
  <si>
    <t>Move Investments to Trust</t>
  </si>
  <si>
    <t>Interest for Year</t>
  </si>
  <si>
    <t>10 year plan Jason</t>
  </si>
  <si>
    <t>10 year plan Adriana</t>
  </si>
  <si>
    <t>Taxes</t>
  </si>
  <si>
    <t>Gov't</t>
  </si>
  <si>
    <t>Personal Trust</t>
  </si>
  <si>
    <t>Begin</t>
  </si>
  <si>
    <t>Chavez</t>
  </si>
  <si>
    <t>Porras Ochoa</t>
  </si>
  <si>
    <t>Amount left</t>
  </si>
  <si>
    <t>15k yearly tax free for 5 years</t>
  </si>
  <si>
    <t>Jet&amp;Yacht</t>
  </si>
  <si>
    <t>59 1/2 Roth IRA Retirement</t>
  </si>
  <si>
    <t>Ready to Retire 59 1/2</t>
  </si>
  <si>
    <t>10% aggressive weekly planner</t>
  </si>
  <si>
    <t>m2week1</t>
  </si>
  <si>
    <t>m2week2</t>
  </si>
  <si>
    <t>m2week3</t>
  </si>
  <si>
    <t>m2week4</t>
  </si>
  <si>
    <t>m3week1</t>
  </si>
  <si>
    <t>m3week2</t>
  </si>
  <si>
    <t>m3week3</t>
  </si>
  <si>
    <t>m3week4</t>
  </si>
  <si>
    <t>m4week5</t>
  </si>
  <si>
    <t>m4week1</t>
  </si>
  <si>
    <t>m4week2</t>
  </si>
  <si>
    <t>m4week3</t>
  </si>
  <si>
    <t>m4week4</t>
  </si>
  <si>
    <t>m5week1</t>
  </si>
  <si>
    <t>m5week2</t>
  </si>
  <si>
    <t>m5week3</t>
  </si>
  <si>
    <t>m5week4</t>
  </si>
  <si>
    <t>m1week1</t>
  </si>
  <si>
    <t>m1week2</t>
  </si>
  <si>
    <t>m1week3</t>
  </si>
  <si>
    <t>m1week4</t>
  </si>
  <si>
    <t>m6week1</t>
  </si>
  <si>
    <t>m6week2</t>
  </si>
  <si>
    <t>m6week3</t>
  </si>
  <si>
    <t>m6week4</t>
  </si>
  <si>
    <t>m7week1</t>
  </si>
  <si>
    <t>m7week2</t>
  </si>
  <si>
    <t>m7week3</t>
  </si>
  <si>
    <t>m7week4</t>
  </si>
  <si>
    <t>m8week1</t>
  </si>
  <si>
    <t>m8week2</t>
  </si>
  <si>
    <t>m8week3</t>
  </si>
  <si>
    <t>m8week4</t>
  </si>
  <si>
    <t>m9week1</t>
  </si>
  <si>
    <t>m9week2</t>
  </si>
  <si>
    <t>m9week3</t>
  </si>
  <si>
    <t>m9week4</t>
  </si>
  <si>
    <t>m10week1</t>
  </si>
  <si>
    <t>m10week2</t>
  </si>
  <si>
    <t>m10week3</t>
  </si>
  <si>
    <t>m10week4</t>
  </si>
  <si>
    <t>m11week1</t>
  </si>
  <si>
    <t>m11week2</t>
  </si>
  <si>
    <t>m11week3</t>
  </si>
  <si>
    <t>m11week4</t>
  </si>
  <si>
    <t>m12week1</t>
  </si>
  <si>
    <t>m12week2</t>
  </si>
  <si>
    <t>m12week3</t>
  </si>
  <si>
    <t>m12week4</t>
  </si>
  <si>
    <t>m10week5</t>
  </si>
  <si>
    <t>Self Employedx2</t>
  </si>
  <si>
    <t>5 year plan Jason</t>
  </si>
  <si>
    <t>5 year plan Adriana</t>
  </si>
  <si>
    <t>5 years @ 260k</t>
  </si>
  <si>
    <t>5 years @ 240k</t>
  </si>
  <si>
    <t>Charity</t>
  </si>
  <si>
    <t>30k yearly tax free for 5 years</t>
  </si>
  <si>
    <t>10% rule</t>
  </si>
  <si>
    <t>Tim/Sabs/Andres allowances (2nd)</t>
  </si>
  <si>
    <t xml:space="preserve">Siblings Gift </t>
  </si>
  <si>
    <t>5 Siblings @ 2m each</t>
  </si>
  <si>
    <t>Tim/Sabs/Andres allowances (Final)</t>
  </si>
  <si>
    <t>Tim/Sabs/Andres allowances (3rd)</t>
  </si>
  <si>
    <t>240k yearly for 10 years</t>
  </si>
  <si>
    <t>120k yearly for 10 years</t>
  </si>
  <si>
    <t>60k yearly for 5 years</t>
  </si>
  <si>
    <t>Chavez and Porras Ochoa Foundations 8B each</t>
  </si>
  <si>
    <t>January 2026 Summer House?</t>
  </si>
  <si>
    <t>3 kids x 5m each</t>
  </si>
  <si>
    <t>Move 800m to second Roth IRA</t>
  </si>
  <si>
    <t>Overall Package</t>
  </si>
  <si>
    <t>Chavez Foundation</t>
  </si>
  <si>
    <t>Porras Ochoa Found</t>
  </si>
  <si>
    <t>Personal Fam Trust</t>
  </si>
  <si>
    <t>Payoff Bruce and Albert</t>
  </si>
  <si>
    <t>Annuity</t>
  </si>
  <si>
    <t>Savings</t>
  </si>
  <si>
    <t>Schwab</t>
  </si>
  <si>
    <t>Accountant</t>
  </si>
  <si>
    <t>Overall 500Mil package</t>
  </si>
  <si>
    <t>Overall first package 150m</t>
  </si>
  <si>
    <t>Tax of 37% on full 150M</t>
  </si>
  <si>
    <t>150m package from housing</t>
  </si>
  <si>
    <t>Bruce, Albert, 401k, CC Debt</t>
  </si>
  <si>
    <t>House Payoff</t>
  </si>
  <si>
    <t>Play money</t>
  </si>
  <si>
    <t>Age 60</t>
  </si>
  <si>
    <t>October 2025 Ochoa Ranch?</t>
  </si>
  <si>
    <t>100% aggressive monthly planner</t>
  </si>
  <si>
    <t>30% average monthly planner</t>
  </si>
  <si>
    <t>5 Year Spending Fund (10M per Year)/16M Long Term</t>
  </si>
  <si>
    <t>Spread over 5 years or 1 lump sum tax free</t>
  </si>
  <si>
    <t>Spread over 10 years or 1 lump sum tax free</t>
  </si>
  <si>
    <t>First Gift to Self before Age 60 (5 Years)</t>
  </si>
  <si>
    <t>Retirement Stipend at Age 60 (10 Years)</t>
  </si>
  <si>
    <t>Retirement Stipend at Age 70</t>
  </si>
  <si>
    <t>20 years @ 520k</t>
  </si>
  <si>
    <t>20 years @ 480k</t>
  </si>
  <si>
    <t>Tim/Sabs/Andres allowances (4th)</t>
  </si>
  <si>
    <t>480k yearly for 10 years</t>
  </si>
  <si>
    <t>5 Siblings @ 8m each</t>
  </si>
  <si>
    <t>Overall 950Mil package @Age70</t>
  </si>
  <si>
    <t>Private Jet Charter Card (500k)</t>
  </si>
  <si>
    <t>Overall 500Mil package @Age 59 1/2</t>
  </si>
  <si>
    <t>Autumn Yacht Charter Greek Islands (dad)</t>
  </si>
  <si>
    <t>3 kids x 14m each</t>
  </si>
  <si>
    <t>3 kids x 14m each (28m total)</t>
  </si>
  <si>
    <t>Private Jet&amp;Yacht w/ Maint Fund 4B (Approx 20 years)</t>
  </si>
  <si>
    <t>Private Jet&amp;Yacht w/ Maint 2B</t>
  </si>
  <si>
    <t>Chavez Family Trust Creation @7B</t>
  </si>
  <si>
    <t>Porras Ochoa Family Foundation Creation @7B</t>
  </si>
  <si>
    <t>$128B+ to Personal Family Trust/Foundation</t>
  </si>
  <si>
    <t>Ilya Grad and Start College</t>
  </si>
  <si>
    <t>Cleanup</t>
  </si>
  <si>
    <t>Self Emplymnt</t>
  </si>
  <si>
    <t>Millionaire</t>
  </si>
  <si>
    <t>Billionaire</t>
  </si>
  <si>
    <t>Rest &amp; Relax</t>
  </si>
  <si>
    <t>Adventure</t>
  </si>
  <si>
    <t>Take 378k for 401k Loan/Self-E/CC Debt (600k)</t>
  </si>
  <si>
    <t>Also 1/2 year Self-E this year</t>
  </si>
  <si>
    <t>Private Jet&amp;Yacht w/ Maint 4B</t>
  </si>
  <si>
    <t>Millionaire Status</t>
  </si>
  <si>
    <t>Self Employed</t>
  </si>
  <si>
    <t>Financial Freedom Status</t>
  </si>
  <si>
    <t>Retirement Preparation</t>
  </si>
  <si>
    <t>Self Employ Plan 1 1/2 years @375k (600k)</t>
  </si>
  <si>
    <t>Self Employx2 Plan 1 1/2 years @375k (600k)</t>
  </si>
  <si>
    <t>Self Employx2 Plan 2 years @500k (800k)</t>
  </si>
  <si>
    <t>Overall Investing Plans and Retire in USA</t>
  </si>
  <si>
    <t>EOY Interest Goal 30,259</t>
  </si>
  <si>
    <t>Dividend Plan4Adri 800m package</t>
  </si>
  <si>
    <t>EOY Move Investments to Dividends/Mutual Funds</t>
  </si>
  <si>
    <t>10 years @ 520k</t>
  </si>
  <si>
    <t>10 years @ 480k</t>
  </si>
  <si>
    <t>10 Year Spending Fund (30M per Year)/64M Long Term</t>
  </si>
  <si>
    <t>EOY Interest Goal 160k</t>
  </si>
  <si>
    <t>Tax on self-e prior</t>
  </si>
  <si>
    <t>200% super aggressive monthly planner</t>
  </si>
  <si>
    <t>Overall 1.5Bil package @Age 59 1/2</t>
  </si>
  <si>
    <t>Chavez and Porras Ochoa Foundations 9B each</t>
  </si>
  <si>
    <t>Overall 6Bil package @Age70</t>
  </si>
  <si>
    <t>$130B+ to Personal Family Trust/Foundation</t>
  </si>
  <si>
    <t>Mark 40k for removal from goal list.</t>
  </si>
  <si>
    <t>Chavez Family Trust Creation @4B</t>
  </si>
  <si>
    <t>Porras Ochoa Family Foundation Creation @4B</t>
  </si>
  <si>
    <t>Chavez Family Trust Creation @5B</t>
  </si>
  <si>
    <t>Porras Ochoa Family Foundation Creation @5B</t>
  </si>
  <si>
    <t>Retirement 5.8m package</t>
  </si>
  <si>
    <t>Prep 4 Self Employ Next Year</t>
  </si>
  <si>
    <t>Overall second package 500m</t>
  </si>
  <si>
    <t>$21B+ to Personal Family Trust/Foundation</t>
  </si>
  <si>
    <t>$40B+ to Personal Family Trust/Foundation</t>
  </si>
  <si>
    <t>6 year plan Jason</t>
  </si>
  <si>
    <t>Second 10 year plan Jason</t>
  </si>
  <si>
    <t>Second 10 year plan Adriana</t>
  </si>
  <si>
    <t>5 years @ 120k (start July 2022)</t>
  </si>
  <si>
    <t>6 years @ 130k (start July 2021)</t>
  </si>
  <si>
    <t>10 years @ 260k (start July 2027)</t>
  </si>
  <si>
    <t>2 kids x 5M each</t>
  </si>
  <si>
    <t>10 years @ 120k (start July 2027)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</si>
</sst>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0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Fill="1" applyBorder="1"/>
    <xf numFmtId="3" fontId="0" fillId="0" borderId="10" xfId="0" applyNumberFormat="1" applyBorder="1"/>
    <xf numFmtId="3" fontId="0" fillId="0" borderId="11" xfId="0" applyNumberFormat="1" applyFill="1" applyBorder="1"/>
    <xf numFmtId="0" fontId="1" fillId="0" borderId="0" xfId="0" applyFont="1"/>
    <xf numFmtId="164" fontId="2" fillId="0" borderId="0" xfId="0" applyNumberFormat="1" applyFont="1"/>
    <xf numFmtId="3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Fill="1" applyBorder="1"/>
    <xf numFmtId="3" fontId="3" fillId="2" borderId="0" xfId="1" applyNumberFormat="1" applyBorder="1"/>
    <xf numFmtId="3" fontId="3" fillId="2" borderId="8" xfId="1" applyNumberFormat="1" applyBorder="1"/>
    <xf numFmtId="3" fontId="0" fillId="3" borderId="0" xfId="0" applyNumberFormat="1" applyFill="1" applyBorder="1"/>
    <xf numFmtId="3" fontId="3" fillId="0" borderId="0" xfId="1" applyNumberFormat="1" applyFill="1" applyBorder="1"/>
    <xf numFmtId="3" fontId="4" fillId="0" borderId="0" xfId="1" applyNumberFormat="1" applyFont="1" applyFill="1"/>
    <xf numFmtId="3" fontId="0" fillId="0" borderId="7" xfId="0" applyNumberFormat="1" applyFill="1" applyBorder="1"/>
    <xf numFmtId="3" fontId="4" fillId="0" borderId="0" xfId="1" applyNumberFormat="1" applyFont="1" applyFill="1" applyBorder="1"/>
    <xf numFmtId="3" fontId="4" fillId="2" borderId="0" xfId="1" applyNumberFormat="1" applyFont="1" applyBorder="1"/>
    <xf numFmtId="3" fontId="0" fillId="4" borderId="0" xfId="0" applyNumberFormat="1" applyFill="1" applyBorder="1"/>
    <xf numFmtId="0" fontId="0" fillId="0" borderId="1" xfId="0" applyFill="1" applyBorder="1"/>
    <xf numFmtId="3" fontId="0" fillId="0" borderId="11" xfId="0" applyNumberFormat="1" applyBorder="1"/>
    <xf numFmtId="0" fontId="0" fillId="0" borderId="2" xfId="0" applyBorder="1" applyAlignment="1">
      <alignment horizontal="center"/>
    </xf>
    <xf numFmtId="3" fontId="0" fillId="3" borderId="10" xfId="0" applyNumberFormat="1" applyFill="1" applyBorder="1"/>
    <xf numFmtId="0" fontId="0" fillId="0" borderId="10" xfId="0" applyBorder="1"/>
    <xf numFmtId="0" fontId="0" fillId="0" borderId="0" xfId="0" applyFont="1"/>
    <xf numFmtId="164" fontId="0" fillId="0" borderId="0" xfId="0" applyNumberFormat="1" applyFont="1"/>
    <xf numFmtId="3" fontId="0" fillId="0" borderId="10" xfId="0" applyNumberFormat="1" applyFill="1" applyBorder="1"/>
    <xf numFmtId="3" fontId="0" fillId="0" borderId="2" xfId="0" applyNumberFormat="1" applyBorder="1"/>
    <xf numFmtId="0" fontId="0" fillId="0" borderId="4" xfId="0" applyFill="1" applyBorder="1"/>
    <xf numFmtId="0" fontId="0" fillId="0" borderId="0" xfId="0" applyBorder="1" applyAlignment="1">
      <alignment horizontal="center"/>
    </xf>
    <xf numFmtId="3" fontId="4" fillId="0" borderId="5" xfId="1" applyNumberFormat="1" applyFont="1" applyFill="1" applyBorder="1"/>
    <xf numFmtId="3" fontId="0" fillId="0" borderId="5" xfId="0" applyNumberFormat="1" applyFill="1" applyBorder="1"/>
    <xf numFmtId="0" fontId="0" fillId="0" borderId="3" xfId="0" applyBorder="1" applyAlignment="1">
      <alignment horizont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4" xfId="0" applyNumberFormat="1" applyFill="1" applyBorder="1"/>
    <xf numFmtId="3" fontId="4" fillId="2" borderId="0" xfId="1" applyNumberFormat="1" applyFont="1"/>
    <xf numFmtId="3" fontId="4" fillId="0" borderId="8" xfId="1" applyNumberFormat="1" applyFont="1" applyFill="1" applyBorder="1"/>
    <xf numFmtId="3" fontId="0" fillId="5" borderId="5" xfId="0" applyNumberFormat="1" applyFill="1" applyBorder="1"/>
    <xf numFmtId="3" fontId="0" fillId="3" borderId="7" xfId="0" applyNumberFormat="1" applyFill="1" applyBorder="1"/>
    <xf numFmtId="3" fontId="0" fillId="3" borderId="4" xfId="0" applyNumberFormat="1" applyFill="1" applyBorder="1"/>
    <xf numFmtId="3" fontId="0" fillId="6" borderId="5" xfId="0" applyNumberFormat="1" applyFill="1" applyBorder="1"/>
    <xf numFmtId="3" fontId="0" fillId="4" borderId="5" xfId="0" applyNumberFormat="1" applyFill="1" applyBorder="1"/>
    <xf numFmtId="3" fontId="4" fillId="3" borderId="0" xfId="1" applyNumberFormat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DB84-09B2-47B8-9230-838D9F33A0A1}">
  <dimension ref="A1:AJ182"/>
  <sheetViews>
    <sheetView topLeftCell="A61" workbookViewId="0">
      <selection activeCell="C67" sqref="C67"/>
    </sheetView>
  </sheetViews>
  <sheetFormatPr defaultRowHeight="14.4" x14ac:dyDescent="0.3"/>
  <cols>
    <col min="1" max="1" width="12" customWidth="1"/>
    <col min="2" max="2" width="12.33203125" bestFit="1" customWidth="1"/>
    <col min="3" max="3" width="15.77734375" customWidth="1"/>
    <col min="4" max="4" width="14.33203125" customWidth="1"/>
    <col min="5" max="5" width="14.6640625" customWidth="1"/>
    <col min="6" max="6" width="17.109375" customWidth="1"/>
    <col min="7" max="7" width="12.5546875" customWidth="1"/>
    <col min="8" max="8" width="17.6640625" customWidth="1"/>
    <col min="9" max="9" width="14.44140625" bestFit="1" customWidth="1"/>
    <col min="10" max="10" width="12.33203125" customWidth="1"/>
    <col min="11" max="11" width="14.44140625" bestFit="1" customWidth="1"/>
    <col min="12" max="12" width="19.21875" customWidth="1"/>
    <col min="13" max="13" width="14.109375" customWidth="1"/>
    <col min="14" max="15" width="17.109375" bestFit="1" customWidth="1"/>
    <col min="16" max="16" width="12.33203125" customWidth="1"/>
    <col min="17" max="18" width="14.44140625" bestFit="1" customWidth="1"/>
    <col min="19" max="19" width="28.88671875" customWidth="1"/>
    <col min="20" max="20" width="21.109375" customWidth="1"/>
    <col min="21" max="21" width="13.44140625" bestFit="1" customWidth="1"/>
    <col min="22" max="22" width="14.21875" customWidth="1"/>
    <col min="23" max="23" width="17.77734375" customWidth="1"/>
    <col min="24" max="25" width="14.44140625" bestFit="1" customWidth="1"/>
    <col min="26" max="26" width="15.21875" customWidth="1"/>
    <col min="27" max="27" width="16.21875" customWidth="1"/>
    <col min="28" max="28" width="10.88671875" bestFit="1" customWidth="1"/>
    <col min="29" max="29" width="12.77734375" customWidth="1"/>
    <col min="30" max="30" width="11" bestFit="1" customWidth="1"/>
    <col min="31" max="31" width="9.88671875" bestFit="1" customWidth="1"/>
    <col min="32" max="32" width="13.44140625" customWidth="1"/>
    <col min="33" max="34" width="10.88671875" bestFit="1" customWidth="1"/>
    <col min="35" max="35" width="12.88671875" customWidth="1"/>
    <col min="36" max="36" width="13.88671875" customWidth="1"/>
  </cols>
  <sheetData>
    <row r="1" spans="1:36" x14ac:dyDescent="0.3">
      <c r="A1" t="s">
        <v>219</v>
      </c>
    </row>
    <row r="2" spans="1:36" ht="15" thickBot="1" x14ac:dyDescent="0.35">
      <c r="A2" t="s">
        <v>48</v>
      </c>
    </row>
    <row r="3" spans="1:36" x14ac:dyDescent="0.3">
      <c r="A3" s="2">
        <v>2021</v>
      </c>
      <c r="B3" s="3"/>
      <c r="C3" s="4"/>
      <c r="D3" s="2">
        <v>2022</v>
      </c>
      <c r="E3" s="3"/>
      <c r="F3" s="4"/>
      <c r="G3" s="2">
        <v>2023</v>
      </c>
      <c r="H3" s="3"/>
      <c r="I3" s="4"/>
      <c r="J3" s="2">
        <v>2024</v>
      </c>
      <c r="K3" s="3"/>
      <c r="L3" s="4"/>
      <c r="M3" s="2">
        <v>2025</v>
      </c>
      <c r="N3" s="3"/>
      <c r="O3" s="4"/>
      <c r="P3" s="2">
        <v>2026</v>
      </c>
      <c r="Q3" s="3"/>
      <c r="R3" s="4"/>
      <c r="S3" s="2">
        <v>2027</v>
      </c>
      <c r="T3" s="3"/>
      <c r="U3" s="3"/>
      <c r="V3" s="2">
        <v>2028</v>
      </c>
      <c r="W3" s="3"/>
      <c r="X3" s="3"/>
      <c r="Y3" s="2">
        <v>2029</v>
      </c>
      <c r="Z3" s="3"/>
      <c r="AA3" s="4"/>
      <c r="AB3" s="2">
        <v>2030</v>
      </c>
      <c r="AC3" s="3"/>
      <c r="AD3" s="4"/>
      <c r="AE3" s="2">
        <v>2031</v>
      </c>
      <c r="AF3" s="3"/>
      <c r="AG3" s="4"/>
      <c r="AH3" s="2">
        <v>2032</v>
      </c>
      <c r="AI3" s="3"/>
      <c r="AJ3" s="4"/>
    </row>
    <row r="4" spans="1:36" x14ac:dyDescent="0.3">
      <c r="A4" s="5" t="s">
        <v>14</v>
      </c>
      <c r="B4" s="6" t="s">
        <v>0</v>
      </c>
      <c r="C4" s="7" t="s">
        <v>1</v>
      </c>
      <c r="D4" s="5" t="s">
        <v>14</v>
      </c>
      <c r="E4" s="6" t="s">
        <v>0</v>
      </c>
      <c r="F4" s="7" t="s">
        <v>1</v>
      </c>
      <c r="G4" s="5" t="s">
        <v>14</v>
      </c>
      <c r="H4" s="6" t="s">
        <v>0</v>
      </c>
      <c r="I4" s="7" t="s">
        <v>1</v>
      </c>
      <c r="J4" s="5" t="s">
        <v>14</v>
      </c>
      <c r="K4" s="6" t="s">
        <v>0</v>
      </c>
      <c r="L4" s="7" t="s">
        <v>1</v>
      </c>
      <c r="M4" s="5" t="s">
        <v>14</v>
      </c>
      <c r="N4" s="6" t="s">
        <v>0</v>
      </c>
      <c r="O4" s="7" t="s">
        <v>1</v>
      </c>
      <c r="P4" s="5" t="s">
        <v>14</v>
      </c>
      <c r="Q4" s="6" t="s">
        <v>0</v>
      </c>
      <c r="R4" s="7" t="s">
        <v>1</v>
      </c>
      <c r="S4" s="5" t="s">
        <v>14</v>
      </c>
      <c r="T4" s="6" t="s">
        <v>0</v>
      </c>
      <c r="U4" s="7" t="s">
        <v>1</v>
      </c>
      <c r="V4" s="5" t="s">
        <v>14</v>
      </c>
      <c r="W4" s="6" t="s">
        <v>0</v>
      </c>
      <c r="X4" s="7" t="s">
        <v>1</v>
      </c>
      <c r="Y4" s="5" t="s">
        <v>14</v>
      </c>
      <c r="Z4" s="6" t="s">
        <v>0</v>
      </c>
      <c r="AA4" s="7" t="s">
        <v>1</v>
      </c>
      <c r="AB4" s="5" t="s">
        <v>14</v>
      </c>
      <c r="AC4" s="6" t="s">
        <v>0</v>
      </c>
      <c r="AD4" s="7" t="s">
        <v>1</v>
      </c>
      <c r="AE4" s="5" t="s">
        <v>14</v>
      </c>
      <c r="AF4" s="6" t="s">
        <v>0</v>
      </c>
      <c r="AG4" s="7" t="s">
        <v>1</v>
      </c>
      <c r="AH4" s="5" t="s">
        <v>14</v>
      </c>
      <c r="AI4" s="6" t="s">
        <v>0</v>
      </c>
      <c r="AJ4" s="7" t="s">
        <v>1</v>
      </c>
    </row>
    <row r="5" spans="1:36" x14ac:dyDescent="0.3">
      <c r="A5" s="8" t="s">
        <v>2</v>
      </c>
      <c r="B5" s="34">
        <v>2000</v>
      </c>
      <c r="C5" s="54">
        <v>-200</v>
      </c>
      <c r="D5" s="8" t="s">
        <v>2</v>
      </c>
      <c r="E5" s="9">
        <f>B16+C16</f>
        <v>5083.7352217959997</v>
      </c>
      <c r="F5" s="10">
        <f t="shared" ref="F5:F16" si="0">E5*0.1</f>
        <v>508.3735221796</v>
      </c>
      <c r="G5" s="8" t="s">
        <v>2</v>
      </c>
      <c r="H5" s="9">
        <f>E16+F16</f>
        <v>15954.938879820591</v>
      </c>
      <c r="I5" s="10">
        <f t="shared" ref="I5:I16" si="1">H5*0.1</f>
        <v>1595.4938879820593</v>
      </c>
      <c r="J5" s="8" t="s">
        <v>2</v>
      </c>
      <c r="K5" s="9">
        <f>H16+I16</f>
        <v>50073.432929278111</v>
      </c>
      <c r="L5" s="10">
        <f t="shared" ref="L5:L15" si="2">K5*0.1</f>
        <v>5007.3432929278115</v>
      </c>
      <c r="M5" s="8" t="s">
        <v>2</v>
      </c>
      <c r="N5" s="9">
        <f>K16+L16</f>
        <v>162151.88282508217</v>
      </c>
      <c r="O5" s="10">
        <f t="shared" ref="O5:O15" si="3">N5*0.1</f>
        <v>16215.188282508218</v>
      </c>
      <c r="P5" s="8" t="s">
        <v>2</v>
      </c>
      <c r="Q5" s="26">
        <f>N16+O16-250000</f>
        <v>263902.07039697655</v>
      </c>
      <c r="R5" s="10">
        <f t="shared" ref="R5:R15" si="4">Q5*0.1</f>
        <v>26390.207039697656</v>
      </c>
      <c r="S5" s="8" t="s">
        <v>2</v>
      </c>
      <c r="T5" s="26">
        <f>Q16+R16-250000</f>
        <v>583237.7464092942</v>
      </c>
      <c r="U5" s="10">
        <f t="shared" ref="U5:U15" si="5">T5*0.1</f>
        <v>58323.77464092942</v>
      </c>
      <c r="V5" s="8" t="s">
        <v>2</v>
      </c>
      <c r="W5" s="26">
        <f>T16+U16-250000</f>
        <v>1580449.8937057361</v>
      </c>
      <c r="X5" s="10">
        <f t="shared" ref="X5:X15" si="6">W5*0.1</f>
        <v>158044.98937057363</v>
      </c>
      <c r="Y5" s="8" t="s">
        <v>2</v>
      </c>
      <c r="Z5" s="26">
        <f>W16+X16-250000</f>
        <v>4715128.7943917708</v>
      </c>
      <c r="AA5" s="10">
        <f t="shared" ref="AA5:AA15" si="7">Z5*0.1</f>
        <v>471512.87943917711</v>
      </c>
      <c r="AB5" s="8" t="s">
        <v>2</v>
      </c>
      <c r="AC5" s="1">
        <v>9000000</v>
      </c>
      <c r="AD5" s="10">
        <f t="shared" ref="AD5:AD16" si="8">AC5*0.1</f>
        <v>900000</v>
      </c>
      <c r="AE5" s="8" t="s">
        <v>2</v>
      </c>
      <c r="AF5" s="1">
        <f>AC16+AD16</f>
        <v>28245855.390489001</v>
      </c>
      <c r="AG5" s="10">
        <f t="shared" ref="AG5:AG16" si="9">AF5*0.1</f>
        <v>2824585.5390489004</v>
      </c>
      <c r="AH5" s="8" t="s">
        <v>2</v>
      </c>
      <c r="AI5" s="1">
        <f>AF16+AG16</f>
        <v>88647594.082268506</v>
      </c>
      <c r="AJ5" s="10">
        <f t="shared" ref="AJ5:AJ16" si="10">AI5*0.1</f>
        <v>8864759.4082268514</v>
      </c>
    </row>
    <row r="6" spans="1:36" x14ac:dyDescent="0.3">
      <c r="A6" s="8" t="s">
        <v>3</v>
      </c>
      <c r="B6" s="34">
        <f t="shared" ref="B6:B17" si="11">B5+C5</f>
        <v>1800</v>
      </c>
      <c r="C6" s="57">
        <v>160</v>
      </c>
      <c r="D6" s="8" t="s">
        <v>3</v>
      </c>
      <c r="E6" s="9">
        <f t="shared" ref="E6:E17" si="12">E5+F5</f>
        <v>5592.1087439755993</v>
      </c>
      <c r="F6" s="10">
        <f t="shared" si="0"/>
        <v>559.21087439755991</v>
      </c>
      <c r="G6" s="8" t="s">
        <v>3</v>
      </c>
      <c r="H6" s="9">
        <f t="shared" ref="H6:H17" si="13">H5+I5</f>
        <v>17550.432767802649</v>
      </c>
      <c r="I6" s="10">
        <f t="shared" si="1"/>
        <v>1755.0432767802649</v>
      </c>
      <c r="J6" s="8" t="s">
        <v>3</v>
      </c>
      <c r="K6" s="9">
        <f t="shared" ref="K6:K17" si="14">K5+L5</f>
        <v>55080.776222205925</v>
      </c>
      <c r="L6" s="10">
        <f t="shared" si="2"/>
        <v>5508.0776222205932</v>
      </c>
      <c r="M6" s="8" t="s">
        <v>3</v>
      </c>
      <c r="N6" s="9">
        <f t="shared" ref="N6:N17" si="15">N5+O5</f>
        <v>178367.0711075904</v>
      </c>
      <c r="O6" s="10">
        <f t="shared" si="3"/>
        <v>17836.707110759042</v>
      </c>
      <c r="P6" s="8" t="s">
        <v>3</v>
      </c>
      <c r="Q6" s="9">
        <f t="shared" ref="Q6:Q17" si="16">Q5+R5</f>
        <v>290292.27743667422</v>
      </c>
      <c r="R6" s="10">
        <f t="shared" si="4"/>
        <v>29029.227743667423</v>
      </c>
      <c r="S6" s="8" t="s">
        <v>3</v>
      </c>
      <c r="T6" s="9">
        <f t="shared" ref="T6:T17" si="17">T5+U5</f>
        <v>641561.52105022362</v>
      </c>
      <c r="U6" s="10">
        <f t="shared" si="5"/>
        <v>64156.152105022367</v>
      </c>
      <c r="V6" s="8" t="s">
        <v>3</v>
      </c>
      <c r="W6" s="9">
        <f t="shared" ref="W6:W17" si="18">W5+X5</f>
        <v>1738494.8830763097</v>
      </c>
      <c r="X6" s="10">
        <f t="shared" si="6"/>
        <v>173849.48830763099</v>
      </c>
      <c r="Y6" s="8" t="s">
        <v>3</v>
      </c>
      <c r="Z6" s="9">
        <f t="shared" ref="Z6:Z17" si="19">Z5+AA5</f>
        <v>5186641.6738309478</v>
      </c>
      <c r="AA6" s="10">
        <f t="shared" si="7"/>
        <v>518664.16738309478</v>
      </c>
      <c r="AB6" s="8" t="s">
        <v>3</v>
      </c>
      <c r="AC6" s="9">
        <f t="shared" ref="AC6:AC17" si="20">AC5+AD5</f>
        <v>9900000</v>
      </c>
      <c r="AD6" s="10">
        <f t="shared" si="8"/>
        <v>990000</v>
      </c>
      <c r="AE6" s="8" t="s">
        <v>3</v>
      </c>
      <c r="AF6" s="9">
        <f t="shared" ref="AF6:AF17" si="21">AF5+AG5</f>
        <v>31070440.9295379</v>
      </c>
      <c r="AG6" s="10">
        <f t="shared" si="9"/>
        <v>3107044.09295379</v>
      </c>
      <c r="AH6" s="8" t="s">
        <v>3</v>
      </c>
      <c r="AI6" s="9">
        <f t="shared" ref="AI6:AI17" si="22">AI5+AJ5</f>
        <v>97512353.490495354</v>
      </c>
      <c r="AJ6" s="10">
        <f t="shared" si="10"/>
        <v>9751235.3490495365</v>
      </c>
    </row>
    <row r="7" spans="1:36" x14ac:dyDescent="0.3">
      <c r="A7" s="8" t="s">
        <v>4</v>
      </c>
      <c r="B7" s="34">
        <f t="shared" si="11"/>
        <v>1960</v>
      </c>
      <c r="C7" s="10">
        <f t="shared" ref="C7:C15" si="23">B7*0.1</f>
        <v>196</v>
      </c>
      <c r="D7" s="8" t="s">
        <v>4</v>
      </c>
      <c r="E7" s="9">
        <f t="shared" si="12"/>
        <v>6151.3196183731588</v>
      </c>
      <c r="F7" s="10">
        <f t="shared" si="0"/>
        <v>615.13196183731588</v>
      </c>
      <c r="G7" s="8" t="s">
        <v>4</v>
      </c>
      <c r="H7" s="9">
        <f t="shared" si="13"/>
        <v>19305.476044582916</v>
      </c>
      <c r="I7" s="10">
        <f t="shared" si="1"/>
        <v>1930.5476044582917</v>
      </c>
      <c r="J7" s="8" t="s">
        <v>4</v>
      </c>
      <c r="K7" s="9">
        <f t="shared" si="14"/>
        <v>60588.853844426514</v>
      </c>
      <c r="L7" s="10">
        <f t="shared" si="2"/>
        <v>6058.8853844426521</v>
      </c>
      <c r="M7" s="8" t="s">
        <v>4</v>
      </c>
      <c r="N7" s="9">
        <f t="shared" si="15"/>
        <v>196203.77821834944</v>
      </c>
      <c r="O7" s="10">
        <f t="shared" si="3"/>
        <v>19620.377821834943</v>
      </c>
      <c r="P7" s="8" t="s">
        <v>4</v>
      </c>
      <c r="Q7" s="9">
        <f t="shared" si="16"/>
        <v>319321.50518034166</v>
      </c>
      <c r="R7" s="10">
        <f t="shared" si="4"/>
        <v>31932.150518034166</v>
      </c>
      <c r="S7" s="8" t="s">
        <v>4</v>
      </c>
      <c r="T7" s="9">
        <f t="shared" si="17"/>
        <v>705717.67315524595</v>
      </c>
      <c r="U7" s="10">
        <f t="shared" si="5"/>
        <v>70571.767315524601</v>
      </c>
      <c r="V7" s="8" t="s">
        <v>4</v>
      </c>
      <c r="W7" s="9">
        <f t="shared" si="18"/>
        <v>1912344.3713839408</v>
      </c>
      <c r="X7" s="10">
        <f t="shared" si="6"/>
        <v>191234.4371383941</v>
      </c>
      <c r="Y7" s="8" t="s">
        <v>4</v>
      </c>
      <c r="Z7" s="9">
        <f t="shared" si="19"/>
        <v>5705305.8412140422</v>
      </c>
      <c r="AA7" s="10">
        <f t="shared" si="7"/>
        <v>570530.58412140422</v>
      </c>
      <c r="AB7" s="8" t="s">
        <v>4</v>
      </c>
      <c r="AC7" s="9">
        <f t="shared" si="20"/>
        <v>10890000</v>
      </c>
      <c r="AD7" s="10">
        <f t="shared" si="8"/>
        <v>1089000</v>
      </c>
      <c r="AE7" s="8" t="s">
        <v>4</v>
      </c>
      <c r="AF7" s="9">
        <f t="shared" si="21"/>
        <v>34177485.022491693</v>
      </c>
      <c r="AG7" s="10">
        <f t="shared" si="9"/>
        <v>3417748.5022491696</v>
      </c>
      <c r="AH7" s="8" t="s">
        <v>4</v>
      </c>
      <c r="AI7" s="9">
        <f t="shared" si="22"/>
        <v>107263588.83954489</v>
      </c>
      <c r="AJ7" s="10">
        <f t="shared" si="10"/>
        <v>10726358.88395449</v>
      </c>
    </row>
    <row r="8" spans="1:36" x14ac:dyDescent="0.3">
      <c r="A8" s="8" t="s">
        <v>5</v>
      </c>
      <c r="B8" s="9">
        <f t="shared" si="11"/>
        <v>2156</v>
      </c>
      <c r="C8" s="10">
        <f t="shared" si="23"/>
        <v>215.60000000000002</v>
      </c>
      <c r="D8" s="8" t="s">
        <v>5</v>
      </c>
      <c r="E8" s="9">
        <f t="shared" si="12"/>
        <v>6766.4515802104743</v>
      </c>
      <c r="F8" s="10">
        <f t="shared" si="0"/>
        <v>676.64515802104745</v>
      </c>
      <c r="G8" s="8" t="s">
        <v>5</v>
      </c>
      <c r="H8" s="9">
        <f t="shared" si="13"/>
        <v>21236.023649041206</v>
      </c>
      <c r="I8" s="10">
        <f t="shared" si="1"/>
        <v>2123.6023649041208</v>
      </c>
      <c r="J8" s="8" t="s">
        <v>5</v>
      </c>
      <c r="K8" s="9">
        <f t="shared" si="14"/>
        <v>66647.739228869163</v>
      </c>
      <c r="L8" s="10">
        <f t="shared" si="2"/>
        <v>6664.7739228869168</v>
      </c>
      <c r="M8" s="8" t="s">
        <v>5</v>
      </c>
      <c r="N8" s="9">
        <f t="shared" si="15"/>
        <v>215824.15604018437</v>
      </c>
      <c r="O8" s="10">
        <f t="shared" si="3"/>
        <v>21582.415604018439</v>
      </c>
      <c r="P8" s="8" t="s">
        <v>5</v>
      </c>
      <c r="Q8" s="9">
        <f t="shared" si="16"/>
        <v>351253.65569837583</v>
      </c>
      <c r="R8" s="10">
        <f t="shared" si="4"/>
        <v>35125.365569837588</v>
      </c>
      <c r="S8" s="8" t="s">
        <v>5</v>
      </c>
      <c r="T8" s="9">
        <f t="shared" si="17"/>
        <v>776289.44047077058</v>
      </c>
      <c r="U8" s="10">
        <f t="shared" si="5"/>
        <v>77628.944047077064</v>
      </c>
      <c r="V8" s="8" t="s">
        <v>5</v>
      </c>
      <c r="W8" s="9">
        <f t="shared" si="18"/>
        <v>2103578.8085223348</v>
      </c>
      <c r="X8" s="10">
        <f t="shared" si="6"/>
        <v>210357.8808522335</v>
      </c>
      <c r="Y8" s="8" t="s">
        <v>5</v>
      </c>
      <c r="Z8" s="9">
        <f t="shared" si="19"/>
        <v>6275836.4253354464</v>
      </c>
      <c r="AA8" s="10">
        <f t="shared" si="7"/>
        <v>627583.64253354468</v>
      </c>
      <c r="AB8" s="8" t="s">
        <v>5</v>
      </c>
      <c r="AC8" s="9">
        <f t="shared" si="20"/>
        <v>11979000</v>
      </c>
      <c r="AD8" s="10">
        <f t="shared" si="8"/>
        <v>1197900</v>
      </c>
      <c r="AE8" s="8" t="s">
        <v>5</v>
      </c>
      <c r="AF8" s="9">
        <f t="shared" si="21"/>
        <v>37595233.52474086</v>
      </c>
      <c r="AG8" s="10">
        <f t="shared" si="9"/>
        <v>3759523.352474086</v>
      </c>
      <c r="AH8" s="8" t="s">
        <v>5</v>
      </c>
      <c r="AI8" s="9">
        <f t="shared" si="22"/>
        <v>117989947.72349939</v>
      </c>
      <c r="AJ8" s="10">
        <f t="shared" si="10"/>
        <v>11798994.772349939</v>
      </c>
    </row>
    <row r="9" spans="1:36" x14ac:dyDescent="0.3">
      <c r="A9" s="8" t="s">
        <v>6</v>
      </c>
      <c r="B9" s="9">
        <f t="shared" si="11"/>
        <v>2371.6</v>
      </c>
      <c r="C9" s="10">
        <f t="shared" si="23"/>
        <v>237.16</v>
      </c>
      <c r="D9" s="8" t="s">
        <v>6</v>
      </c>
      <c r="E9" s="9">
        <f t="shared" si="12"/>
        <v>7443.0967382315221</v>
      </c>
      <c r="F9" s="10">
        <f t="shared" si="0"/>
        <v>744.30967382315225</v>
      </c>
      <c r="G9" s="8" t="s">
        <v>6</v>
      </c>
      <c r="H9" s="9">
        <f t="shared" si="13"/>
        <v>23359.626013945326</v>
      </c>
      <c r="I9" s="10">
        <f t="shared" si="1"/>
        <v>2335.9626013945326</v>
      </c>
      <c r="J9" s="8" t="s">
        <v>6</v>
      </c>
      <c r="K9" s="9">
        <f t="shared" si="14"/>
        <v>73312.51315175608</v>
      </c>
      <c r="L9" s="10">
        <f t="shared" si="2"/>
        <v>7331.2513151756084</v>
      </c>
      <c r="M9" s="8" t="s">
        <v>6</v>
      </c>
      <c r="N9" s="9">
        <f t="shared" si="15"/>
        <v>237406.57164420281</v>
      </c>
      <c r="O9" s="10">
        <f t="shared" si="3"/>
        <v>23740.657164420281</v>
      </c>
      <c r="P9" s="8" t="s">
        <v>6</v>
      </c>
      <c r="Q9" s="9">
        <f t="shared" si="16"/>
        <v>386379.0212682134</v>
      </c>
      <c r="R9" s="10">
        <f t="shared" si="4"/>
        <v>38637.90212682134</v>
      </c>
      <c r="S9" s="8" t="s">
        <v>6</v>
      </c>
      <c r="T9" s="9">
        <f t="shared" si="17"/>
        <v>853918.38451784768</v>
      </c>
      <c r="U9" s="10">
        <f t="shared" si="5"/>
        <v>85391.838451784773</v>
      </c>
      <c r="V9" s="8" t="s">
        <v>6</v>
      </c>
      <c r="W9" s="9">
        <f t="shared" si="18"/>
        <v>2313936.6893745684</v>
      </c>
      <c r="X9" s="10">
        <f t="shared" si="6"/>
        <v>231393.66893745685</v>
      </c>
      <c r="Y9" s="8" t="s">
        <v>6</v>
      </c>
      <c r="Z9" s="9">
        <f t="shared" si="19"/>
        <v>6903420.0678689908</v>
      </c>
      <c r="AA9" s="10">
        <f t="shared" si="7"/>
        <v>690342.00678689918</v>
      </c>
      <c r="AB9" s="8" t="s">
        <v>6</v>
      </c>
      <c r="AC9" s="9">
        <f t="shared" si="20"/>
        <v>13176900</v>
      </c>
      <c r="AD9" s="10">
        <f t="shared" si="8"/>
        <v>1317690</v>
      </c>
      <c r="AE9" s="8" t="s">
        <v>6</v>
      </c>
      <c r="AF9" s="9">
        <f t="shared" si="21"/>
        <v>41354756.877214946</v>
      </c>
      <c r="AG9" s="10">
        <f t="shared" si="9"/>
        <v>4135475.6877214946</v>
      </c>
      <c r="AH9" s="8" t="s">
        <v>6</v>
      </c>
      <c r="AI9" s="9">
        <f t="shared" si="22"/>
        <v>129788942.49584933</v>
      </c>
      <c r="AJ9" s="10">
        <f t="shared" si="10"/>
        <v>12978894.249584934</v>
      </c>
    </row>
    <row r="10" spans="1:36" x14ac:dyDescent="0.3">
      <c r="A10" s="8" t="s">
        <v>7</v>
      </c>
      <c r="B10" s="9">
        <f t="shared" si="11"/>
        <v>2608.7599999999998</v>
      </c>
      <c r="C10" s="10">
        <f t="shared" si="23"/>
        <v>260.87599999999998</v>
      </c>
      <c r="D10" s="8" t="s">
        <v>7</v>
      </c>
      <c r="E10" s="9">
        <f t="shared" si="12"/>
        <v>8187.4064120546745</v>
      </c>
      <c r="F10" s="10">
        <f t="shared" si="0"/>
        <v>818.74064120546745</v>
      </c>
      <c r="G10" s="8" t="s">
        <v>7</v>
      </c>
      <c r="H10" s="9">
        <f t="shared" si="13"/>
        <v>25695.588615339861</v>
      </c>
      <c r="I10" s="10">
        <f t="shared" si="1"/>
        <v>2569.5588615339861</v>
      </c>
      <c r="J10" s="8" t="s">
        <v>7</v>
      </c>
      <c r="K10" s="9">
        <f t="shared" si="14"/>
        <v>80643.764466931694</v>
      </c>
      <c r="L10" s="10">
        <f t="shared" si="2"/>
        <v>8064.3764466931698</v>
      </c>
      <c r="M10" s="8" t="s">
        <v>7</v>
      </c>
      <c r="N10" s="9">
        <f t="shared" si="15"/>
        <v>261147.2288086231</v>
      </c>
      <c r="O10" s="10">
        <f t="shared" si="3"/>
        <v>26114.722880862311</v>
      </c>
      <c r="P10" s="8" t="s">
        <v>7</v>
      </c>
      <c r="Q10" s="9">
        <f t="shared" si="16"/>
        <v>425016.92339503474</v>
      </c>
      <c r="R10" s="10">
        <f t="shared" si="4"/>
        <v>42501.692339503476</v>
      </c>
      <c r="S10" s="8" t="s">
        <v>7</v>
      </c>
      <c r="T10" s="9">
        <f t="shared" si="17"/>
        <v>939310.22296963248</v>
      </c>
      <c r="U10" s="10">
        <f t="shared" si="5"/>
        <v>93931.02229696326</v>
      </c>
      <c r="V10" s="8" t="s">
        <v>7</v>
      </c>
      <c r="W10" s="9">
        <f t="shared" si="18"/>
        <v>2545330.3583120252</v>
      </c>
      <c r="X10" s="10">
        <f t="shared" si="6"/>
        <v>254533.03583120252</v>
      </c>
      <c r="Y10" s="8" t="s">
        <v>7</v>
      </c>
      <c r="Z10" s="9">
        <f t="shared" si="19"/>
        <v>7593762.0746558905</v>
      </c>
      <c r="AA10" s="10">
        <f t="shared" si="7"/>
        <v>759376.20746558905</v>
      </c>
      <c r="AB10" s="8" t="s">
        <v>7</v>
      </c>
      <c r="AC10" s="9">
        <f t="shared" si="20"/>
        <v>14494590</v>
      </c>
      <c r="AD10" s="10">
        <f t="shared" si="8"/>
        <v>1449459</v>
      </c>
      <c r="AE10" s="8" t="s">
        <v>7</v>
      </c>
      <c r="AF10" s="9">
        <f t="shared" si="21"/>
        <v>45490232.564936444</v>
      </c>
      <c r="AG10" s="10">
        <f t="shared" si="9"/>
        <v>4549023.2564936448</v>
      </c>
      <c r="AH10" s="8" t="s">
        <v>7</v>
      </c>
      <c r="AI10" s="9">
        <f t="shared" si="22"/>
        <v>142767836.74543425</v>
      </c>
      <c r="AJ10" s="10">
        <f t="shared" si="10"/>
        <v>14276783.674543425</v>
      </c>
    </row>
    <row r="11" spans="1:36" x14ac:dyDescent="0.3">
      <c r="A11" s="8" t="s">
        <v>8</v>
      </c>
      <c r="B11" s="9">
        <f t="shared" si="11"/>
        <v>2869.6359999999995</v>
      </c>
      <c r="C11" s="10">
        <f t="shared" si="23"/>
        <v>286.96359999999999</v>
      </c>
      <c r="D11" s="8" t="s">
        <v>8</v>
      </c>
      <c r="E11" s="9">
        <f t="shared" si="12"/>
        <v>9006.1470532601415</v>
      </c>
      <c r="F11" s="10">
        <f t="shared" si="0"/>
        <v>900.61470532601425</v>
      </c>
      <c r="G11" s="8" t="s">
        <v>8</v>
      </c>
      <c r="H11" s="9">
        <f t="shared" si="13"/>
        <v>28265.147476873848</v>
      </c>
      <c r="I11" s="10">
        <f t="shared" si="1"/>
        <v>2826.5147476873849</v>
      </c>
      <c r="J11" s="8" t="s">
        <v>8</v>
      </c>
      <c r="K11" s="9">
        <f t="shared" si="14"/>
        <v>88708.140913624869</v>
      </c>
      <c r="L11" s="10">
        <f t="shared" si="2"/>
        <v>8870.8140913624866</v>
      </c>
      <c r="M11" s="8" t="s">
        <v>8</v>
      </c>
      <c r="N11" s="9">
        <f t="shared" si="15"/>
        <v>287261.9516894854</v>
      </c>
      <c r="O11" s="10">
        <f t="shared" si="3"/>
        <v>28726.195168948543</v>
      </c>
      <c r="P11" s="8" t="s">
        <v>8</v>
      </c>
      <c r="Q11" s="9">
        <f t="shared" si="16"/>
        <v>467518.61573453824</v>
      </c>
      <c r="R11" s="10">
        <f t="shared" si="4"/>
        <v>46751.861573453825</v>
      </c>
      <c r="S11" s="8" t="s">
        <v>8</v>
      </c>
      <c r="T11" s="9">
        <f t="shared" si="17"/>
        <v>1033241.2452665957</v>
      </c>
      <c r="U11" s="10">
        <f t="shared" si="5"/>
        <v>103324.12452665958</v>
      </c>
      <c r="V11" s="8" t="s">
        <v>8</v>
      </c>
      <c r="W11" s="9">
        <f t="shared" si="18"/>
        <v>2799863.3941432275</v>
      </c>
      <c r="X11" s="10">
        <f t="shared" si="6"/>
        <v>279986.33941432275</v>
      </c>
      <c r="Y11" s="8" t="s">
        <v>8</v>
      </c>
      <c r="Z11" s="9">
        <f t="shared" si="19"/>
        <v>8353138.2821214795</v>
      </c>
      <c r="AA11" s="10">
        <f t="shared" si="7"/>
        <v>835313.82821214804</v>
      </c>
      <c r="AB11" s="8" t="s">
        <v>8</v>
      </c>
      <c r="AC11" s="9">
        <f t="shared" si="20"/>
        <v>15944049</v>
      </c>
      <c r="AD11" s="10">
        <f t="shared" si="8"/>
        <v>1594404.9000000001</v>
      </c>
      <c r="AE11" s="8" t="s">
        <v>8</v>
      </c>
      <c r="AF11" s="9">
        <f t="shared" si="21"/>
        <v>50039255.821430087</v>
      </c>
      <c r="AG11" s="10">
        <f t="shared" si="9"/>
        <v>5003925.5821430087</v>
      </c>
      <c r="AH11" s="8" t="s">
        <v>8</v>
      </c>
      <c r="AI11" s="9">
        <f t="shared" si="22"/>
        <v>157044620.41997766</v>
      </c>
      <c r="AJ11" s="10">
        <f t="shared" si="10"/>
        <v>15704462.041997768</v>
      </c>
    </row>
    <row r="12" spans="1:36" x14ac:dyDescent="0.3">
      <c r="A12" s="8" t="s">
        <v>9</v>
      </c>
      <c r="B12" s="9">
        <f t="shared" si="11"/>
        <v>3156.5995999999996</v>
      </c>
      <c r="C12" s="10">
        <f t="shared" si="23"/>
        <v>315.65995999999996</v>
      </c>
      <c r="D12" s="8" t="s">
        <v>9</v>
      </c>
      <c r="E12" s="9">
        <f t="shared" si="12"/>
        <v>9906.7617585861553</v>
      </c>
      <c r="F12" s="10">
        <f t="shared" si="0"/>
        <v>990.67617585861558</v>
      </c>
      <c r="G12" s="8" t="s">
        <v>9</v>
      </c>
      <c r="H12" s="9">
        <f t="shared" si="13"/>
        <v>31091.662224561234</v>
      </c>
      <c r="I12" s="10">
        <f t="shared" si="1"/>
        <v>3109.1662224561237</v>
      </c>
      <c r="J12" s="8" t="s">
        <v>9</v>
      </c>
      <c r="K12" s="9">
        <f t="shared" si="14"/>
        <v>97578.955004987351</v>
      </c>
      <c r="L12" s="10">
        <f t="shared" si="2"/>
        <v>9757.8955004987347</v>
      </c>
      <c r="M12" s="8" t="s">
        <v>9</v>
      </c>
      <c r="N12" s="9">
        <f t="shared" si="15"/>
        <v>315988.14685843396</v>
      </c>
      <c r="O12" s="10">
        <f t="shared" si="3"/>
        <v>31598.814685843397</v>
      </c>
      <c r="P12" s="8" t="s">
        <v>9</v>
      </c>
      <c r="Q12" s="9">
        <f t="shared" si="16"/>
        <v>514270.47730799206</v>
      </c>
      <c r="R12" s="10">
        <f t="shared" si="4"/>
        <v>51427.047730799211</v>
      </c>
      <c r="S12" s="8" t="s">
        <v>9</v>
      </c>
      <c r="T12" s="9">
        <f t="shared" si="17"/>
        <v>1136565.3697932553</v>
      </c>
      <c r="U12" s="10">
        <f t="shared" si="5"/>
        <v>113656.53697932554</v>
      </c>
      <c r="V12" s="8" t="s">
        <v>9</v>
      </c>
      <c r="W12" s="9">
        <f t="shared" si="18"/>
        <v>3079849.7335575502</v>
      </c>
      <c r="X12" s="10">
        <f t="shared" si="6"/>
        <v>307984.97335575504</v>
      </c>
      <c r="Y12" s="8" t="s">
        <v>9</v>
      </c>
      <c r="Z12" s="9">
        <f t="shared" si="19"/>
        <v>9188452.1103336271</v>
      </c>
      <c r="AA12" s="10">
        <f t="shared" si="7"/>
        <v>918845.21103336278</v>
      </c>
      <c r="AB12" s="8" t="s">
        <v>9</v>
      </c>
      <c r="AC12" s="9">
        <f t="shared" si="20"/>
        <v>17538453.899999999</v>
      </c>
      <c r="AD12" s="10">
        <f t="shared" si="8"/>
        <v>1753845.39</v>
      </c>
      <c r="AE12" s="8" t="s">
        <v>9</v>
      </c>
      <c r="AF12" s="9">
        <f t="shared" si="21"/>
        <v>55043181.403573096</v>
      </c>
      <c r="AG12" s="10">
        <f t="shared" si="9"/>
        <v>5504318.14035731</v>
      </c>
      <c r="AH12" s="8" t="s">
        <v>9</v>
      </c>
      <c r="AI12" s="9">
        <f t="shared" si="22"/>
        <v>172749082.46197543</v>
      </c>
      <c r="AJ12" s="10">
        <f t="shared" si="10"/>
        <v>17274908.246197544</v>
      </c>
    </row>
    <row r="13" spans="1:36" x14ac:dyDescent="0.3">
      <c r="A13" s="8" t="s">
        <v>10</v>
      </c>
      <c r="B13" s="9">
        <f t="shared" si="11"/>
        <v>3472.2595599999995</v>
      </c>
      <c r="C13" s="10">
        <f t="shared" si="23"/>
        <v>347.225956</v>
      </c>
      <c r="D13" s="8" t="s">
        <v>10</v>
      </c>
      <c r="E13" s="9">
        <f t="shared" si="12"/>
        <v>10897.437934444772</v>
      </c>
      <c r="F13" s="10">
        <f t="shared" si="0"/>
        <v>1089.7437934444772</v>
      </c>
      <c r="G13" s="8" t="s">
        <v>10</v>
      </c>
      <c r="H13" s="9">
        <f t="shared" si="13"/>
        <v>34200.82844701736</v>
      </c>
      <c r="I13" s="10">
        <f t="shared" si="1"/>
        <v>3420.0828447017361</v>
      </c>
      <c r="J13" s="8" t="s">
        <v>10</v>
      </c>
      <c r="K13" s="9">
        <f t="shared" si="14"/>
        <v>107336.85050548609</v>
      </c>
      <c r="L13" s="10">
        <f t="shared" si="2"/>
        <v>10733.685050548609</v>
      </c>
      <c r="M13" s="8" t="s">
        <v>10</v>
      </c>
      <c r="N13" s="9">
        <f t="shared" si="15"/>
        <v>347586.96154427738</v>
      </c>
      <c r="O13" s="10">
        <f t="shared" si="3"/>
        <v>34758.696154427736</v>
      </c>
      <c r="P13" s="8" t="s">
        <v>10</v>
      </c>
      <c r="Q13" s="9">
        <f t="shared" si="16"/>
        <v>565697.52503879124</v>
      </c>
      <c r="R13" s="10">
        <f t="shared" si="4"/>
        <v>56569.752503879128</v>
      </c>
      <c r="S13" s="8" t="s">
        <v>10</v>
      </c>
      <c r="T13" s="9">
        <f t="shared" si="17"/>
        <v>1250221.9067725809</v>
      </c>
      <c r="U13" s="10">
        <f t="shared" si="5"/>
        <v>125022.1906772581</v>
      </c>
      <c r="V13" s="8" t="s">
        <v>10</v>
      </c>
      <c r="W13" s="9">
        <f t="shared" si="18"/>
        <v>3387834.7069133054</v>
      </c>
      <c r="X13" s="10">
        <f t="shared" si="6"/>
        <v>338783.47069133056</v>
      </c>
      <c r="Y13" s="8" t="s">
        <v>10</v>
      </c>
      <c r="Z13" s="9">
        <f t="shared" si="19"/>
        <v>10107297.32136699</v>
      </c>
      <c r="AA13" s="10">
        <f t="shared" si="7"/>
        <v>1010729.732136699</v>
      </c>
      <c r="AB13" s="8" t="s">
        <v>10</v>
      </c>
      <c r="AC13" s="9">
        <f t="shared" si="20"/>
        <v>19292299.289999999</v>
      </c>
      <c r="AD13" s="10">
        <f t="shared" si="8"/>
        <v>1929229.929</v>
      </c>
      <c r="AE13" s="8" t="s">
        <v>10</v>
      </c>
      <c r="AF13" s="9">
        <f t="shared" si="21"/>
        <v>60547499.543930404</v>
      </c>
      <c r="AG13" s="10">
        <f t="shared" si="9"/>
        <v>6054749.9543930404</v>
      </c>
      <c r="AH13" s="8" t="s">
        <v>10</v>
      </c>
      <c r="AI13" s="9">
        <f t="shared" si="22"/>
        <v>190023990.70817298</v>
      </c>
      <c r="AJ13" s="10">
        <f t="shared" si="10"/>
        <v>19002399.070817299</v>
      </c>
    </row>
    <row r="14" spans="1:36" x14ac:dyDescent="0.3">
      <c r="A14" s="8" t="s">
        <v>11</v>
      </c>
      <c r="B14" s="9">
        <f t="shared" si="11"/>
        <v>3819.4855159999997</v>
      </c>
      <c r="C14" s="10">
        <f t="shared" si="23"/>
        <v>381.94855159999997</v>
      </c>
      <c r="D14" s="8" t="s">
        <v>11</v>
      </c>
      <c r="E14" s="9">
        <f t="shared" si="12"/>
        <v>11987.181727889249</v>
      </c>
      <c r="F14" s="10">
        <f t="shared" si="0"/>
        <v>1198.7181727889249</v>
      </c>
      <c r="G14" s="8" t="s">
        <v>11</v>
      </c>
      <c r="H14" s="9">
        <f t="shared" si="13"/>
        <v>37620.911291719094</v>
      </c>
      <c r="I14" s="10">
        <f t="shared" si="1"/>
        <v>3762.0911291719094</v>
      </c>
      <c r="J14" s="8" t="s">
        <v>11</v>
      </c>
      <c r="K14" s="9">
        <f t="shared" si="14"/>
        <v>118070.53555603469</v>
      </c>
      <c r="L14" s="10">
        <f t="shared" si="2"/>
        <v>11807.05355560347</v>
      </c>
      <c r="M14" s="8" t="s">
        <v>11</v>
      </c>
      <c r="N14" s="9">
        <f t="shared" si="15"/>
        <v>382345.65769870509</v>
      </c>
      <c r="O14" s="10">
        <f t="shared" si="3"/>
        <v>38234.565769870511</v>
      </c>
      <c r="P14" s="8" t="s">
        <v>11</v>
      </c>
      <c r="Q14" s="9">
        <f t="shared" si="16"/>
        <v>622267.27754267037</v>
      </c>
      <c r="R14" s="10">
        <f t="shared" si="4"/>
        <v>62226.727754267042</v>
      </c>
      <c r="S14" s="8" t="s">
        <v>11</v>
      </c>
      <c r="T14" s="9">
        <f t="shared" si="17"/>
        <v>1375244.0974498391</v>
      </c>
      <c r="U14" s="10">
        <f t="shared" si="5"/>
        <v>137524.40974498392</v>
      </c>
      <c r="V14" s="8" t="s">
        <v>11</v>
      </c>
      <c r="W14" s="9">
        <f t="shared" si="18"/>
        <v>3726618.1776046362</v>
      </c>
      <c r="X14" s="10">
        <f t="shared" si="6"/>
        <v>372661.81776046363</v>
      </c>
      <c r="Y14" s="8" t="s">
        <v>11</v>
      </c>
      <c r="Z14" s="9">
        <f t="shared" si="19"/>
        <v>11118027.053503688</v>
      </c>
      <c r="AA14" s="10">
        <f t="shared" si="7"/>
        <v>1111802.705350369</v>
      </c>
      <c r="AB14" s="8" t="s">
        <v>11</v>
      </c>
      <c r="AC14" s="9">
        <f t="shared" si="20"/>
        <v>21221529.219000001</v>
      </c>
      <c r="AD14" s="10">
        <f t="shared" si="8"/>
        <v>2122152.9219</v>
      </c>
      <c r="AE14" s="8" t="s">
        <v>11</v>
      </c>
      <c r="AF14" s="9">
        <f t="shared" si="21"/>
        <v>66602249.498323441</v>
      </c>
      <c r="AG14" s="10">
        <f t="shared" si="9"/>
        <v>6660224.9498323444</v>
      </c>
      <c r="AH14" s="8" t="s">
        <v>11</v>
      </c>
      <c r="AI14" s="9">
        <f t="shared" si="22"/>
        <v>209026389.77899027</v>
      </c>
      <c r="AJ14" s="10">
        <f t="shared" si="10"/>
        <v>20902638.97789903</v>
      </c>
    </row>
    <row r="15" spans="1:36" x14ac:dyDescent="0.3">
      <c r="A15" s="8" t="s">
        <v>12</v>
      </c>
      <c r="B15" s="9">
        <f t="shared" si="11"/>
        <v>4201.4340675999993</v>
      </c>
      <c r="C15" s="10">
        <f t="shared" si="23"/>
        <v>420.14340675999995</v>
      </c>
      <c r="D15" s="8" t="s">
        <v>12</v>
      </c>
      <c r="E15" s="9">
        <f t="shared" si="12"/>
        <v>13185.899900678174</v>
      </c>
      <c r="F15" s="10">
        <f t="shared" si="0"/>
        <v>1318.5899900678176</v>
      </c>
      <c r="G15" s="8" t="s">
        <v>12</v>
      </c>
      <c r="H15" s="9">
        <f t="shared" si="13"/>
        <v>41383.002420891004</v>
      </c>
      <c r="I15" s="10">
        <f t="shared" si="1"/>
        <v>4138.3002420891007</v>
      </c>
      <c r="J15" s="8" t="s">
        <v>12</v>
      </c>
      <c r="K15" s="9">
        <f t="shared" si="14"/>
        <v>129877.58911163817</v>
      </c>
      <c r="L15" s="10">
        <f t="shared" si="2"/>
        <v>12987.758911163817</v>
      </c>
      <c r="M15" s="8" t="s">
        <v>12</v>
      </c>
      <c r="N15" s="9">
        <f t="shared" si="15"/>
        <v>420580.22346857563</v>
      </c>
      <c r="O15" s="10">
        <f t="shared" si="3"/>
        <v>42058.022346857564</v>
      </c>
      <c r="P15" s="8" t="s">
        <v>12</v>
      </c>
      <c r="Q15" s="9">
        <f t="shared" si="16"/>
        <v>684494.00529693742</v>
      </c>
      <c r="R15" s="10">
        <f t="shared" si="4"/>
        <v>68449.400529693739</v>
      </c>
      <c r="S15" s="8" t="s">
        <v>12</v>
      </c>
      <c r="T15" s="9">
        <f t="shared" si="17"/>
        <v>1512768.5071948231</v>
      </c>
      <c r="U15" s="10">
        <f t="shared" si="5"/>
        <v>151276.85071948232</v>
      </c>
      <c r="V15" s="8" t="s">
        <v>12</v>
      </c>
      <c r="W15" s="9">
        <f t="shared" si="18"/>
        <v>4099279.9953651</v>
      </c>
      <c r="X15" s="10">
        <f t="shared" si="6"/>
        <v>409927.99953651003</v>
      </c>
      <c r="Y15" s="8" t="s">
        <v>12</v>
      </c>
      <c r="Z15" s="9">
        <f t="shared" si="19"/>
        <v>12229829.758854058</v>
      </c>
      <c r="AA15" s="10">
        <f t="shared" si="7"/>
        <v>1222982.9758854059</v>
      </c>
      <c r="AB15" s="8" t="s">
        <v>12</v>
      </c>
      <c r="AC15" s="9">
        <f t="shared" si="20"/>
        <v>23343682.140900001</v>
      </c>
      <c r="AD15" s="10">
        <f t="shared" si="8"/>
        <v>2334368.2140900004</v>
      </c>
      <c r="AE15" s="8" t="s">
        <v>12</v>
      </c>
      <c r="AF15" s="9">
        <f t="shared" si="21"/>
        <v>73262474.448155791</v>
      </c>
      <c r="AG15" s="10">
        <f t="shared" si="9"/>
        <v>7326247.4448155798</v>
      </c>
      <c r="AH15" s="8" t="s">
        <v>12</v>
      </c>
      <c r="AI15" s="9">
        <f t="shared" si="22"/>
        <v>229929028.75688928</v>
      </c>
      <c r="AJ15" s="10">
        <f t="shared" si="10"/>
        <v>22992902.875688929</v>
      </c>
    </row>
    <row r="16" spans="1:36" ht="15" thickBot="1" x14ac:dyDescent="0.35">
      <c r="A16" s="11" t="s">
        <v>13</v>
      </c>
      <c r="B16" s="12">
        <f t="shared" si="11"/>
        <v>4621.5774743599995</v>
      </c>
      <c r="C16" s="53">
        <f>B16*0.1</f>
        <v>462.15774743599997</v>
      </c>
      <c r="D16" s="11" t="s">
        <v>13</v>
      </c>
      <c r="E16" s="12">
        <f t="shared" si="12"/>
        <v>14504.489890745992</v>
      </c>
      <c r="F16" s="13">
        <f t="shared" si="0"/>
        <v>1450.4489890745992</v>
      </c>
      <c r="G16" s="11" t="s">
        <v>13</v>
      </c>
      <c r="H16" s="12">
        <f t="shared" si="13"/>
        <v>45521.302662980102</v>
      </c>
      <c r="I16" s="13">
        <f t="shared" si="1"/>
        <v>4552.1302662980106</v>
      </c>
      <c r="J16" s="11" t="s">
        <v>13</v>
      </c>
      <c r="K16" s="12">
        <f t="shared" si="14"/>
        <v>142865.34802280198</v>
      </c>
      <c r="L16" s="27">
        <f>K16*0.1+5000</f>
        <v>19286.534802280199</v>
      </c>
      <c r="M16" s="11" t="s">
        <v>13</v>
      </c>
      <c r="N16" s="12">
        <f t="shared" si="15"/>
        <v>462638.24581543321</v>
      </c>
      <c r="O16" s="27">
        <f>N16*0.1+5000</f>
        <v>51263.824581543326</v>
      </c>
      <c r="P16" s="11" t="s">
        <v>13</v>
      </c>
      <c r="Q16" s="12">
        <f t="shared" si="16"/>
        <v>752943.40582663112</v>
      </c>
      <c r="R16" s="27">
        <f>Q16*0.1+5000</f>
        <v>80294.340582663121</v>
      </c>
      <c r="S16" s="11" t="s">
        <v>13</v>
      </c>
      <c r="T16" s="12">
        <f t="shared" si="17"/>
        <v>1664045.3579143055</v>
      </c>
      <c r="U16" s="53">
        <f>T16*0.1</f>
        <v>166404.53579143056</v>
      </c>
      <c r="V16" s="11" t="s">
        <v>13</v>
      </c>
      <c r="W16" s="12">
        <f t="shared" si="18"/>
        <v>4509207.9949016096</v>
      </c>
      <c r="X16" s="53">
        <f>W16*0.1+5000</f>
        <v>455920.79949016101</v>
      </c>
      <c r="Y16" s="11" t="s">
        <v>13</v>
      </c>
      <c r="Z16" s="12">
        <f t="shared" si="19"/>
        <v>13452812.734739464</v>
      </c>
      <c r="AA16" s="53">
        <f>Z16*0.1+5000</f>
        <v>1350281.2734739464</v>
      </c>
      <c r="AB16" s="11" t="s">
        <v>13</v>
      </c>
      <c r="AC16" s="12">
        <f t="shared" si="20"/>
        <v>25678050.354990002</v>
      </c>
      <c r="AD16" s="13">
        <f t="shared" si="8"/>
        <v>2567805.0354990005</v>
      </c>
      <c r="AE16" s="11" t="s">
        <v>13</v>
      </c>
      <c r="AF16" s="12">
        <f t="shared" si="21"/>
        <v>80588721.892971367</v>
      </c>
      <c r="AG16" s="13">
        <f t="shared" si="9"/>
        <v>8058872.1892971369</v>
      </c>
      <c r="AH16" s="11" t="s">
        <v>13</v>
      </c>
      <c r="AI16" s="12">
        <f t="shared" si="22"/>
        <v>252921931.63257822</v>
      </c>
      <c r="AJ16" s="13">
        <f t="shared" si="10"/>
        <v>25292193.163257822</v>
      </c>
    </row>
    <row r="17" spans="1:36" ht="15" thickBot="1" x14ac:dyDescent="0.35">
      <c r="A17" s="14" t="s">
        <v>15</v>
      </c>
      <c r="B17" s="15">
        <f t="shared" si="11"/>
        <v>5083.7352217959997</v>
      </c>
      <c r="C17" s="16"/>
      <c r="D17" s="14" t="s">
        <v>15</v>
      </c>
      <c r="E17" s="15">
        <f t="shared" si="12"/>
        <v>15954.938879820591</v>
      </c>
      <c r="F17" s="16"/>
      <c r="G17" s="14" t="s">
        <v>15</v>
      </c>
      <c r="H17" s="15">
        <f t="shared" si="13"/>
        <v>50073.432929278111</v>
      </c>
      <c r="I17" s="16"/>
      <c r="J17" s="14" t="s">
        <v>15</v>
      </c>
      <c r="K17" s="15">
        <f t="shared" si="14"/>
        <v>162151.88282508217</v>
      </c>
      <c r="L17" s="16"/>
      <c r="M17" s="14" t="s">
        <v>15</v>
      </c>
      <c r="N17" s="15">
        <f t="shared" si="15"/>
        <v>513902.07039697655</v>
      </c>
      <c r="O17" s="16"/>
      <c r="P17" s="14" t="s">
        <v>15</v>
      </c>
      <c r="Q17" s="15">
        <f t="shared" si="16"/>
        <v>833237.7464092942</v>
      </c>
      <c r="R17" s="16"/>
      <c r="S17" s="14" t="s">
        <v>15</v>
      </c>
      <c r="T17" s="15">
        <f t="shared" si="17"/>
        <v>1830449.8937057361</v>
      </c>
      <c r="U17" s="16"/>
      <c r="V17" s="14" t="s">
        <v>15</v>
      </c>
      <c r="W17" s="15">
        <f t="shared" si="18"/>
        <v>4965128.7943917708</v>
      </c>
      <c r="X17" s="16"/>
      <c r="Y17" s="14" t="s">
        <v>15</v>
      </c>
      <c r="Z17" s="38">
        <f t="shared" si="19"/>
        <v>14803094.00821341</v>
      </c>
      <c r="AA17" s="16"/>
      <c r="AB17" s="14" t="s">
        <v>15</v>
      </c>
      <c r="AC17" s="15">
        <f t="shared" si="20"/>
        <v>28245855.390489001</v>
      </c>
      <c r="AD17" s="16"/>
      <c r="AE17" s="14" t="s">
        <v>15</v>
      </c>
      <c r="AF17" s="15">
        <f t="shared" si="21"/>
        <v>88647594.082268506</v>
      </c>
      <c r="AG17" s="16"/>
      <c r="AH17" s="14" t="s">
        <v>15</v>
      </c>
      <c r="AI17" s="15">
        <f t="shared" si="22"/>
        <v>278214124.79583603</v>
      </c>
      <c r="AJ17" s="16"/>
    </row>
    <row r="18" spans="1:36" x14ac:dyDescent="0.3">
      <c r="C18" s="1">
        <f>SUM(C5:C17)</f>
        <v>3083.7352217960001</v>
      </c>
      <c r="F18" s="1">
        <f>SUM(F5:F17)</f>
        <v>10871.203658024591</v>
      </c>
      <c r="I18" s="1">
        <f>SUM(I5:I17)</f>
        <v>34118.49404945752</v>
      </c>
      <c r="L18" s="1">
        <f>SUM(L5:L17)</f>
        <v>112078.44989580408</v>
      </c>
      <c r="O18" s="1">
        <f>SUM(O5:O17)</f>
        <v>351750.18757189432</v>
      </c>
      <c r="R18" s="1">
        <f>SUM(R5:R17)</f>
        <v>569335.67601231777</v>
      </c>
      <c r="U18" s="1">
        <f>SUM(U5:U17)</f>
        <v>1247212.1472964417</v>
      </c>
      <c r="X18" s="1">
        <f>SUM(X5:X17)</f>
        <v>3384678.9006860349</v>
      </c>
      <c r="AA18" s="1">
        <f>SUM(AA5:AA17)</f>
        <v>10087965.21382164</v>
      </c>
      <c r="AD18" s="1">
        <f>SUM(AD5:AD17)</f>
        <v>19245855.390489001</v>
      </c>
      <c r="AG18" s="1">
        <f>SUM(AG5:AG17)</f>
        <v>60401738.691779509</v>
      </c>
      <c r="AJ18" s="1">
        <f>SUM(AJ5:AJ17)</f>
        <v>189566530.71356755</v>
      </c>
    </row>
    <row r="19" spans="1:36" x14ac:dyDescent="0.3">
      <c r="A19" s="25" t="s">
        <v>52</v>
      </c>
      <c r="D19" s="25" t="s">
        <v>53</v>
      </c>
      <c r="G19" s="25" t="s">
        <v>54</v>
      </c>
      <c r="J19" s="25" t="s">
        <v>42</v>
      </c>
      <c r="M19" s="25" t="s">
        <v>55</v>
      </c>
      <c r="P19" s="25" t="s">
        <v>44</v>
      </c>
      <c r="S19" s="25" t="s">
        <v>45</v>
      </c>
      <c r="T19" s="25"/>
      <c r="V19" s="25" t="s">
        <v>46</v>
      </c>
      <c r="W19" s="25"/>
      <c r="Y19" s="25" t="s">
        <v>46</v>
      </c>
      <c r="AB19" s="25" t="s">
        <v>50</v>
      </c>
      <c r="AE19" s="25" t="s">
        <v>49</v>
      </c>
      <c r="AH19" s="25" t="s">
        <v>49</v>
      </c>
    </row>
    <row r="20" spans="1:36" x14ac:dyDescent="0.3">
      <c r="A20" s="25" t="s">
        <v>63</v>
      </c>
      <c r="D20" s="25"/>
      <c r="J20" s="25" t="s">
        <v>47</v>
      </c>
      <c r="M20" s="25" t="s">
        <v>47</v>
      </c>
      <c r="P20" s="25" t="s">
        <v>47</v>
      </c>
      <c r="S20" s="25"/>
      <c r="U20" s="25"/>
      <c r="Y20" s="25" t="s">
        <v>238</v>
      </c>
      <c r="AH20" s="25" t="s">
        <v>51</v>
      </c>
    </row>
    <row r="21" spans="1:36" x14ac:dyDescent="0.3">
      <c r="A21" s="25"/>
    </row>
    <row r="22" spans="1:36" x14ac:dyDescent="0.3">
      <c r="A22" s="25"/>
    </row>
    <row r="24" spans="1:36" ht="15" thickBot="1" x14ac:dyDescent="0.35">
      <c r="A24" t="s">
        <v>56</v>
      </c>
    </row>
    <row r="25" spans="1:36" x14ac:dyDescent="0.3">
      <c r="A25" s="2">
        <v>2021</v>
      </c>
      <c r="B25" s="3"/>
      <c r="C25" s="4"/>
      <c r="D25" s="2">
        <v>2022</v>
      </c>
      <c r="E25" s="3"/>
      <c r="F25" s="4"/>
      <c r="G25" s="2">
        <v>2023</v>
      </c>
      <c r="H25" s="3"/>
      <c r="I25" s="4"/>
      <c r="J25" s="2">
        <v>2024</v>
      </c>
      <c r="K25" s="3"/>
      <c r="L25" s="4"/>
      <c r="M25" s="2">
        <v>2025</v>
      </c>
      <c r="N25" s="3"/>
      <c r="O25" s="4"/>
      <c r="P25" s="2">
        <v>2026</v>
      </c>
      <c r="Q25" s="3"/>
      <c r="R25" s="4"/>
      <c r="S25" s="2">
        <v>2027</v>
      </c>
      <c r="T25" s="3"/>
      <c r="U25" s="3"/>
      <c r="V25" s="2">
        <v>2028</v>
      </c>
      <c r="W25" s="37" t="s">
        <v>176</v>
      </c>
      <c r="X25" s="3"/>
      <c r="Y25" s="5"/>
      <c r="Z25" s="6"/>
      <c r="AA25" s="6"/>
    </row>
    <row r="26" spans="1:36" x14ac:dyDescent="0.3">
      <c r="A26" s="5" t="s">
        <v>14</v>
      </c>
      <c r="B26" s="6" t="s">
        <v>0</v>
      </c>
      <c r="C26" s="7" t="s">
        <v>1</v>
      </c>
      <c r="D26" s="5" t="s">
        <v>14</v>
      </c>
      <c r="E26" s="6" t="s">
        <v>0</v>
      </c>
      <c r="F26" s="7" t="s">
        <v>1</v>
      </c>
      <c r="G26" s="5" t="s">
        <v>14</v>
      </c>
      <c r="H26" s="6" t="s">
        <v>0</v>
      </c>
      <c r="I26" s="7" t="s">
        <v>1</v>
      </c>
      <c r="J26" s="5" t="s">
        <v>14</v>
      </c>
      <c r="K26" s="6" t="s">
        <v>0</v>
      </c>
      <c r="L26" s="7" t="s">
        <v>1</v>
      </c>
      <c r="M26" s="5" t="s">
        <v>14</v>
      </c>
      <c r="N26" s="6" t="s">
        <v>0</v>
      </c>
      <c r="O26" s="7" t="s">
        <v>1</v>
      </c>
      <c r="P26" s="5" t="s">
        <v>14</v>
      </c>
      <c r="Q26" s="6" t="s">
        <v>0</v>
      </c>
      <c r="R26" s="7" t="s">
        <v>1</v>
      </c>
      <c r="S26" s="5" t="s">
        <v>14</v>
      </c>
      <c r="T26" s="6" t="s">
        <v>0</v>
      </c>
      <c r="U26" s="7" t="s">
        <v>1</v>
      </c>
      <c r="V26" s="5" t="s">
        <v>14</v>
      </c>
      <c r="W26" s="6" t="s">
        <v>0</v>
      </c>
      <c r="X26" s="7" t="s">
        <v>1</v>
      </c>
      <c r="Y26" s="5"/>
      <c r="Z26" s="6"/>
      <c r="AA26" s="6"/>
    </row>
    <row r="27" spans="1:36" x14ac:dyDescent="0.3">
      <c r="A27" s="8" t="s">
        <v>2</v>
      </c>
      <c r="B27" s="34">
        <v>2000</v>
      </c>
      <c r="C27" s="54">
        <v>-200</v>
      </c>
      <c r="D27" s="8" t="s">
        <v>2</v>
      </c>
      <c r="E27" s="9">
        <f>B38+C38</f>
        <v>12135.803387904001</v>
      </c>
      <c r="F27" s="10">
        <f>E27*0.2</f>
        <v>2427.1606775808004</v>
      </c>
      <c r="G27" s="8" t="s">
        <v>2</v>
      </c>
      <c r="H27" s="9">
        <f>E38+F38</f>
        <v>108204.04202683753</v>
      </c>
      <c r="I27" s="10">
        <f>H27*0.2</f>
        <v>21640.808405367508</v>
      </c>
      <c r="J27" s="8" t="s">
        <v>2</v>
      </c>
      <c r="K27" s="32">
        <f>H38+I38</f>
        <v>964758.10761859722</v>
      </c>
      <c r="L27" s="10">
        <f>K27*0.2</f>
        <v>192951.62152371946</v>
      </c>
      <c r="M27" s="8" t="s">
        <v>2</v>
      </c>
      <c r="N27" s="33">
        <f>K38+L38</f>
        <v>6451971.7157967845</v>
      </c>
      <c r="O27" s="10">
        <f>N27*0.2</f>
        <v>1290394.3431593571</v>
      </c>
      <c r="P27" s="8" t="s">
        <v>2</v>
      </c>
      <c r="Q27" s="52">
        <f>N38+O38</f>
        <v>56144027.907350741</v>
      </c>
      <c r="R27" s="10">
        <f>Q27*0.2</f>
        <v>11228805.581470149</v>
      </c>
      <c r="S27" s="8" t="s">
        <v>2</v>
      </c>
      <c r="T27" s="32">
        <f>Q38+R38</f>
        <v>500585792.39162737</v>
      </c>
      <c r="U27" s="10">
        <f>T27*0.2</f>
        <v>100117158.47832549</v>
      </c>
      <c r="V27" s="8" t="s">
        <v>2</v>
      </c>
      <c r="W27" s="59">
        <f>T38+U38-500000000</f>
        <v>3515375607.9335752</v>
      </c>
      <c r="X27" s="10">
        <f>W27*0.2</f>
        <v>703075121.5867151</v>
      </c>
      <c r="Y27" s="8"/>
      <c r="Z27" s="29"/>
      <c r="AA27" s="9"/>
    </row>
    <row r="28" spans="1:36" x14ac:dyDescent="0.3">
      <c r="A28" s="8" t="s">
        <v>3</v>
      </c>
      <c r="B28" s="34">
        <f t="shared" ref="B28:B39" si="24">B27+C27</f>
        <v>1800</v>
      </c>
      <c r="C28" s="57">
        <v>160</v>
      </c>
      <c r="D28" s="8" t="s">
        <v>3</v>
      </c>
      <c r="E28" s="9">
        <f t="shared" ref="E28:E39" si="25">E27+F27</f>
        <v>14562.964065484801</v>
      </c>
      <c r="F28" s="10">
        <f t="shared" ref="F28:F38" si="26">E28*0.2</f>
        <v>2912.5928130969605</v>
      </c>
      <c r="G28" s="8" t="s">
        <v>3</v>
      </c>
      <c r="H28" s="9">
        <f t="shared" ref="H28:H39" si="27">H27+I27</f>
        <v>129844.85043220504</v>
      </c>
      <c r="I28" s="10">
        <f t="shared" ref="I28:I38" si="28">H28*0.2</f>
        <v>25968.970086441012</v>
      </c>
      <c r="J28" s="8" t="s">
        <v>3</v>
      </c>
      <c r="K28" s="9">
        <f t="shared" ref="K28:K39" si="29">K27+L27</f>
        <v>1157709.7291423166</v>
      </c>
      <c r="L28" s="10">
        <f t="shared" ref="L28:L38" si="30">K28*0.2</f>
        <v>231541.94582846333</v>
      </c>
      <c r="M28" s="8" t="s">
        <v>3</v>
      </c>
      <c r="N28" s="9">
        <f t="shared" ref="N28:N39" si="31">N27+O27</f>
        <v>7742366.0589561416</v>
      </c>
      <c r="O28" s="10">
        <f t="shared" ref="O28:O38" si="32">N28*0.2</f>
        <v>1548473.2117912285</v>
      </c>
      <c r="P28" s="8" t="s">
        <v>3</v>
      </c>
      <c r="Q28" s="9">
        <f t="shared" ref="Q28:Q39" si="33">Q27+R27</f>
        <v>67372833.488820896</v>
      </c>
      <c r="R28" s="10">
        <f t="shared" ref="R28:R38" si="34">Q28*0.2</f>
        <v>13474566.697764181</v>
      </c>
      <c r="S28" s="8" t="s">
        <v>3</v>
      </c>
      <c r="T28" s="9">
        <f t="shared" ref="T28:T38" si="35">T27+U27</f>
        <v>600702950.86995292</v>
      </c>
      <c r="U28" s="10">
        <f t="shared" ref="U28:U38" si="36">T28*0.2</f>
        <v>120140590.17399059</v>
      </c>
      <c r="V28" s="8" t="s">
        <v>3</v>
      </c>
      <c r="W28" s="9">
        <f t="shared" ref="W28:W38" si="37">W27+X27</f>
        <v>4218450729.5202904</v>
      </c>
      <c r="X28" s="10">
        <f t="shared" ref="X28:X38" si="38">W28*0.2</f>
        <v>843690145.9040581</v>
      </c>
      <c r="Y28" s="8"/>
      <c r="Z28" s="9"/>
      <c r="AA28" s="9"/>
    </row>
    <row r="29" spans="1:36" x14ac:dyDescent="0.3">
      <c r="A29" s="8" t="s">
        <v>4</v>
      </c>
      <c r="B29" s="34">
        <f t="shared" si="24"/>
        <v>1960</v>
      </c>
      <c r="C29" s="10">
        <f t="shared" ref="C29:C37" si="39">B29*0.2</f>
        <v>392</v>
      </c>
      <c r="D29" s="8" t="s">
        <v>4</v>
      </c>
      <c r="E29" s="9">
        <f t="shared" si="25"/>
        <v>17475.55687858176</v>
      </c>
      <c r="F29" s="10">
        <f t="shared" si="26"/>
        <v>3495.1113757163521</v>
      </c>
      <c r="G29" s="8" t="s">
        <v>4</v>
      </c>
      <c r="H29" s="9">
        <f t="shared" si="27"/>
        <v>155813.82051864604</v>
      </c>
      <c r="I29" s="10">
        <f t="shared" si="28"/>
        <v>31162.764103729209</v>
      </c>
      <c r="J29" s="8" t="s">
        <v>4</v>
      </c>
      <c r="K29" s="9">
        <f t="shared" si="29"/>
        <v>1389251.67497078</v>
      </c>
      <c r="L29" s="10">
        <f t="shared" si="30"/>
        <v>277850.33499415603</v>
      </c>
      <c r="M29" s="8" t="s">
        <v>4</v>
      </c>
      <c r="N29" s="9">
        <f t="shared" si="31"/>
        <v>9290839.270747371</v>
      </c>
      <c r="O29" s="10">
        <f t="shared" si="32"/>
        <v>1858167.8541494743</v>
      </c>
      <c r="P29" s="8" t="s">
        <v>4</v>
      </c>
      <c r="Q29" s="9">
        <f t="shared" si="33"/>
        <v>80847400.186585069</v>
      </c>
      <c r="R29" s="10">
        <f t="shared" si="34"/>
        <v>16169480.037317015</v>
      </c>
      <c r="S29" s="8" t="s">
        <v>4</v>
      </c>
      <c r="T29" s="9">
        <f t="shared" si="35"/>
        <v>720843541.04394352</v>
      </c>
      <c r="U29" s="10">
        <f t="shared" si="36"/>
        <v>144168708.20878872</v>
      </c>
      <c r="V29" s="8" t="s">
        <v>4</v>
      </c>
      <c r="W29" s="9">
        <f t="shared" si="37"/>
        <v>5062140875.4243488</v>
      </c>
      <c r="X29" s="10">
        <f t="shared" si="38"/>
        <v>1012428175.0848699</v>
      </c>
      <c r="Y29" s="8"/>
      <c r="Z29" s="9"/>
      <c r="AA29" s="9"/>
    </row>
    <row r="30" spans="1:36" x14ac:dyDescent="0.3">
      <c r="A30" s="8" t="s">
        <v>5</v>
      </c>
      <c r="B30" s="9">
        <f t="shared" si="24"/>
        <v>2352</v>
      </c>
      <c r="C30" s="10">
        <f t="shared" si="39"/>
        <v>470.40000000000003</v>
      </c>
      <c r="D30" s="8" t="s">
        <v>5</v>
      </c>
      <c r="E30" s="9">
        <f t="shared" si="25"/>
        <v>20970.668254298111</v>
      </c>
      <c r="F30" s="10">
        <f t="shared" si="26"/>
        <v>4194.1336508596223</v>
      </c>
      <c r="G30" s="8" t="s">
        <v>5</v>
      </c>
      <c r="H30" s="9">
        <f t="shared" si="27"/>
        <v>186976.58462237526</v>
      </c>
      <c r="I30" s="10">
        <f t="shared" si="28"/>
        <v>37395.316924475053</v>
      </c>
      <c r="J30" s="8" t="s">
        <v>5</v>
      </c>
      <c r="K30" s="9">
        <f t="shared" si="29"/>
        <v>1667102.0099649359</v>
      </c>
      <c r="L30" s="10">
        <f t="shared" si="30"/>
        <v>333420.4019929872</v>
      </c>
      <c r="M30" s="8" t="s">
        <v>5</v>
      </c>
      <c r="N30" s="9">
        <f t="shared" si="31"/>
        <v>11149007.124896845</v>
      </c>
      <c r="O30" s="10">
        <f t="shared" si="32"/>
        <v>2229801.4249793692</v>
      </c>
      <c r="P30" s="8" t="s">
        <v>5</v>
      </c>
      <c r="Q30" s="9">
        <f t="shared" si="33"/>
        <v>97016880.223902076</v>
      </c>
      <c r="R30" s="10">
        <f t="shared" si="34"/>
        <v>19403376.044780415</v>
      </c>
      <c r="S30" s="8" t="s">
        <v>5</v>
      </c>
      <c r="T30" s="9">
        <f t="shared" si="35"/>
        <v>865012249.25273228</v>
      </c>
      <c r="U30" s="10">
        <f t="shared" si="36"/>
        <v>173002449.85054648</v>
      </c>
      <c r="V30" s="8" t="s">
        <v>5</v>
      </c>
      <c r="W30" s="9">
        <f t="shared" si="37"/>
        <v>6074569050.5092182</v>
      </c>
      <c r="X30" s="10">
        <f t="shared" si="38"/>
        <v>1214913810.1018436</v>
      </c>
      <c r="Y30" s="8"/>
      <c r="Z30" s="9"/>
      <c r="AA30" s="9"/>
    </row>
    <row r="31" spans="1:36" x14ac:dyDescent="0.3">
      <c r="A31" s="8" t="s">
        <v>6</v>
      </c>
      <c r="B31" s="9">
        <f t="shared" si="24"/>
        <v>2822.4</v>
      </c>
      <c r="C31" s="10">
        <f t="shared" si="39"/>
        <v>564.48</v>
      </c>
      <c r="D31" s="8" t="s">
        <v>6</v>
      </c>
      <c r="E31" s="9">
        <f t="shared" si="25"/>
        <v>25164.801905157732</v>
      </c>
      <c r="F31" s="10">
        <f t="shared" si="26"/>
        <v>5032.9603810315466</v>
      </c>
      <c r="G31" s="8" t="s">
        <v>6</v>
      </c>
      <c r="H31" s="9">
        <f t="shared" si="27"/>
        <v>224371.90154685031</v>
      </c>
      <c r="I31" s="10">
        <f t="shared" si="28"/>
        <v>44874.380309370063</v>
      </c>
      <c r="J31" s="8" t="s">
        <v>6</v>
      </c>
      <c r="K31" s="9">
        <f t="shared" si="29"/>
        <v>2000522.4119579231</v>
      </c>
      <c r="L31" s="10">
        <f t="shared" si="30"/>
        <v>400104.48239158466</v>
      </c>
      <c r="M31" s="8" t="s">
        <v>6</v>
      </c>
      <c r="N31" s="9">
        <f t="shared" si="31"/>
        <v>13378808.549876213</v>
      </c>
      <c r="O31" s="10">
        <f t="shared" si="32"/>
        <v>2675761.7099752426</v>
      </c>
      <c r="P31" s="8" t="s">
        <v>6</v>
      </c>
      <c r="Q31" s="9">
        <f t="shared" si="33"/>
        <v>116420256.26868249</v>
      </c>
      <c r="R31" s="10">
        <f t="shared" si="34"/>
        <v>23284051.2537365</v>
      </c>
      <c r="S31" s="8" t="s">
        <v>6</v>
      </c>
      <c r="T31" s="9">
        <f t="shared" si="35"/>
        <v>1038014699.1032788</v>
      </c>
      <c r="U31" s="10">
        <f t="shared" si="36"/>
        <v>207602939.82065576</v>
      </c>
      <c r="V31" s="8" t="s">
        <v>6</v>
      </c>
      <c r="W31" s="9">
        <f t="shared" si="37"/>
        <v>7289482860.611062</v>
      </c>
      <c r="X31" s="10">
        <f t="shared" si="38"/>
        <v>1457896572.1222124</v>
      </c>
      <c r="Y31" s="8"/>
      <c r="Z31" s="9"/>
      <c r="AA31" s="9"/>
    </row>
    <row r="32" spans="1:36" x14ac:dyDescent="0.3">
      <c r="A32" s="8" t="s">
        <v>7</v>
      </c>
      <c r="B32" s="9">
        <f t="shared" si="24"/>
        <v>3386.88</v>
      </c>
      <c r="C32" s="10">
        <f t="shared" si="39"/>
        <v>677.37600000000009</v>
      </c>
      <c r="D32" s="8" t="s">
        <v>7</v>
      </c>
      <c r="E32" s="9">
        <f t="shared" si="25"/>
        <v>30197.762286189278</v>
      </c>
      <c r="F32" s="10">
        <f t="shared" si="26"/>
        <v>6039.5524572378563</v>
      </c>
      <c r="G32" s="8" t="s">
        <v>7</v>
      </c>
      <c r="H32" s="9">
        <f t="shared" si="27"/>
        <v>269246.28185622039</v>
      </c>
      <c r="I32" s="10">
        <f t="shared" si="28"/>
        <v>53849.256371244082</v>
      </c>
      <c r="J32" s="8" t="s">
        <v>7</v>
      </c>
      <c r="K32" s="28">
        <f>K31+L31-600000</f>
        <v>1800626.894349508</v>
      </c>
      <c r="L32" s="10">
        <f t="shared" si="30"/>
        <v>360125.37886990164</v>
      </c>
      <c r="M32" s="8" t="s">
        <v>7</v>
      </c>
      <c r="N32" s="9">
        <f t="shared" si="31"/>
        <v>16054570.259851456</v>
      </c>
      <c r="O32" s="10">
        <f t="shared" si="32"/>
        <v>3210914.0519702914</v>
      </c>
      <c r="P32" s="8" t="s">
        <v>7</v>
      </c>
      <c r="Q32" s="9">
        <f t="shared" si="33"/>
        <v>139704307.52241901</v>
      </c>
      <c r="R32" s="10">
        <f t="shared" si="34"/>
        <v>27940861.504483804</v>
      </c>
      <c r="S32" s="8" t="s">
        <v>7</v>
      </c>
      <c r="T32" s="9">
        <f t="shared" si="35"/>
        <v>1245617638.9239345</v>
      </c>
      <c r="U32" s="10">
        <f t="shared" si="36"/>
        <v>249123527.78478691</v>
      </c>
      <c r="V32" s="8" t="s">
        <v>7</v>
      </c>
      <c r="W32" s="9">
        <f t="shared" si="37"/>
        <v>8747379432.7332745</v>
      </c>
      <c r="X32" s="10">
        <f t="shared" si="38"/>
        <v>1749475886.5466549</v>
      </c>
      <c r="Y32" s="8"/>
      <c r="Z32" s="9"/>
      <c r="AA32" s="9"/>
    </row>
    <row r="33" spans="1:27" x14ac:dyDescent="0.3">
      <c r="A33" s="8" t="s">
        <v>8</v>
      </c>
      <c r="B33" s="9">
        <f t="shared" si="24"/>
        <v>4064.2560000000003</v>
      </c>
      <c r="C33" s="10">
        <f t="shared" si="39"/>
        <v>812.85120000000006</v>
      </c>
      <c r="D33" s="8" t="s">
        <v>8</v>
      </c>
      <c r="E33" s="9">
        <f t="shared" si="25"/>
        <v>36237.314743427138</v>
      </c>
      <c r="F33" s="10">
        <f t="shared" si="26"/>
        <v>7247.4629486854283</v>
      </c>
      <c r="G33" s="8" t="s">
        <v>8</v>
      </c>
      <c r="H33" s="9">
        <f t="shared" si="27"/>
        <v>323095.53822746448</v>
      </c>
      <c r="I33" s="10">
        <f t="shared" si="28"/>
        <v>64619.107645492899</v>
      </c>
      <c r="J33" s="8" t="s">
        <v>8</v>
      </c>
      <c r="K33" s="9">
        <f t="shared" si="29"/>
        <v>2160752.2732194094</v>
      </c>
      <c r="L33" s="10">
        <f t="shared" si="30"/>
        <v>432150.45464388188</v>
      </c>
      <c r="M33" s="8" t="s">
        <v>8</v>
      </c>
      <c r="N33" s="9">
        <f t="shared" si="31"/>
        <v>19265484.311821748</v>
      </c>
      <c r="O33" s="10">
        <f t="shared" si="32"/>
        <v>3853096.8623643499</v>
      </c>
      <c r="P33" s="8" t="s">
        <v>8</v>
      </c>
      <c r="Q33" s="9">
        <f t="shared" si="33"/>
        <v>167645169.02690279</v>
      </c>
      <c r="R33" s="10">
        <f t="shared" si="34"/>
        <v>33529033.80538056</v>
      </c>
      <c r="S33" s="8" t="s">
        <v>8</v>
      </c>
      <c r="T33" s="28">
        <f>T32+U32-150000000</f>
        <v>1344741166.7087214</v>
      </c>
      <c r="U33" s="10">
        <f t="shared" si="36"/>
        <v>268948233.3417443</v>
      </c>
      <c r="V33" s="8" t="s">
        <v>8</v>
      </c>
      <c r="W33" s="9">
        <f t="shared" si="37"/>
        <v>10496855319.27993</v>
      </c>
      <c r="X33" s="10">
        <f t="shared" si="38"/>
        <v>2099371063.8559861</v>
      </c>
      <c r="Y33" s="8"/>
      <c r="Z33" s="9"/>
      <c r="AA33" s="9"/>
    </row>
    <row r="34" spans="1:27" x14ac:dyDescent="0.3">
      <c r="A34" s="8" t="s">
        <v>9</v>
      </c>
      <c r="B34" s="9">
        <f t="shared" si="24"/>
        <v>4877.1072000000004</v>
      </c>
      <c r="C34" s="10">
        <f t="shared" si="39"/>
        <v>975.42144000000008</v>
      </c>
      <c r="D34" s="8" t="s">
        <v>9</v>
      </c>
      <c r="E34" s="9">
        <f t="shared" si="25"/>
        <v>43484.777692112562</v>
      </c>
      <c r="F34" s="10">
        <f t="shared" si="26"/>
        <v>8696.9555384225132</v>
      </c>
      <c r="G34" s="8" t="s">
        <v>9</v>
      </c>
      <c r="H34" s="9">
        <f t="shared" si="27"/>
        <v>387714.64587295736</v>
      </c>
      <c r="I34" s="10">
        <f t="shared" si="28"/>
        <v>77542.929174591482</v>
      </c>
      <c r="J34" s="8" t="s">
        <v>9</v>
      </c>
      <c r="K34" s="25">
        <f>K33+L33</f>
        <v>2592902.7278632913</v>
      </c>
      <c r="L34" s="10">
        <f t="shared" si="30"/>
        <v>518580.5455726583</v>
      </c>
      <c r="M34" s="8" t="s">
        <v>9</v>
      </c>
      <c r="N34" s="9">
        <f t="shared" si="31"/>
        <v>23118581.174186096</v>
      </c>
      <c r="O34" s="10">
        <f t="shared" si="32"/>
        <v>4623716.2348372191</v>
      </c>
      <c r="P34" s="8" t="s">
        <v>9</v>
      </c>
      <c r="Q34" s="9">
        <f t="shared" si="33"/>
        <v>201174202.83228335</v>
      </c>
      <c r="R34" s="10">
        <f t="shared" si="34"/>
        <v>40234840.566456676</v>
      </c>
      <c r="S34" s="8" t="s">
        <v>9</v>
      </c>
      <c r="T34" s="9">
        <f t="shared" si="35"/>
        <v>1613689400.0504656</v>
      </c>
      <c r="U34" s="10">
        <f t="shared" si="36"/>
        <v>322737880.01009315</v>
      </c>
      <c r="V34" s="8" t="s">
        <v>9</v>
      </c>
      <c r="W34" s="9">
        <f t="shared" si="37"/>
        <v>12596226383.135916</v>
      </c>
      <c r="X34" s="10">
        <f t="shared" si="38"/>
        <v>2519245276.6271834</v>
      </c>
      <c r="Y34" s="8"/>
      <c r="Z34" s="9"/>
      <c r="AA34" s="9"/>
    </row>
    <row r="35" spans="1:27" x14ac:dyDescent="0.3">
      <c r="A35" s="8" t="s">
        <v>10</v>
      </c>
      <c r="B35" s="9">
        <f t="shared" si="24"/>
        <v>5852.5286400000005</v>
      </c>
      <c r="C35" s="10">
        <f t="shared" si="39"/>
        <v>1170.5057280000001</v>
      </c>
      <c r="D35" s="8" t="s">
        <v>10</v>
      </c>
      <c r="E35" s="9">
        <f t="shared" si="25"/>
        <v>52181.733230535072</v>
      </c>
      <c r="F35" s="10">
        <f t="shared" si="26"/>
        <v>10436.346646107015</v>
      </c>
      <c r="G35" s="8" t="s">
        <v>10</v>
      </c>
      <c r="H35" s="9">
        <f t="shared" si="27"/>
        <v>465257.57504754886</v>
      </c>
      <c r="I35" s="10">
        <f t="shared" si="28"/>
        <v>93051.515009509778</v>
      </c>
      <c r="J35" s="8" t="s">
        <v>10</v>
      </c>
      <c r="K35" s="9">
        <f t="shared" si="29"/>
        <v>3111483.2734359493</v>
      </c>
      <c r="L35" s="10">
        <f t="shared" si="30"/>
        <v>622296.65468718985</v>
      </c>
      <c r="M35" s="8" t="s">
        <v>10</v>
      </c>
      <c r="N35" s="9">
        <f t="shared" si="31"/>
        <v>27742297.409023315</v>
      </c>
      <c r="O35" s="10">
        <f t="shared" si="32"/>
        <v>5548459.4818046633</v>
      </c>
      <c r="P35" s="8" t="s">
        <v>10</v>
      </c>
      <c r="Q35" s="9">
        <f t="shared" si="33"/>
        <v>241409043.39874002</v>
      </c>
      <c r="R35" s="10">
        <f t="shared" si="34"/>
        <v>48281808.679748006</v>
      </c>
      <c r="S35" s="8" t="s">
        <v>10</v>
      </c>
      <c r="T35" s="9">
        <f t="shared" si="35"/>
        <v>1936427280.0605588</v>
      </c>
      <c r="U35" s="10">
        <f t="shared" si="36"/>
        <v>387285456.01211178</v>
      </c>
      <c r="V35" s="8" t="s">
        <v>10</v>
      </c>
      <c r="W35" s="9">
        <f t="shared" si="37"/>
        <v>15115471659.7631</v>
      </c>
      <c r="X35" s="10">
        <f t="shared" si="38"/>
        <v>3023094331.95262</v>
      </c>
      <c r="Y35" s="8"/>
      <c r="Z35" s="9"/>
      <c r="AA35" s="9"/>
    </row>
    <row r="36" spans="1:27" x14ac:dyDescent="0.3">
      <c r="A36" s="8" t="s">
        <v>11</v>
      </c>
      <c r="B36" s="9">
        <f t="shared" si="24"/>
        <v>7023.0343680000005</v>
      </c>
      <c r="C36" s="10">
        <f t="shared" si="39"/>
        <v>1404.6068736000002</v>
      </c>
      <c r="D36" s="8" t="s">
        <v>11</v>
      </c>
      <c r="E36" s="9">
        <f t="shared" si="25"/>
        <v>62618.079876642085</v>
      </c>
      <c r="F36" s="10">
        <f t="shared" si="26"/>
        <v>12523.615975328417</v>
      </c>
      <c r="G36" s="8" t="s">
        <v>11</v>
      </c>
      <c r="H36" s="9">
        <f t="shared" si="27"/>
        <v>558309.09005705861</v>
      </c>
      <c r="I36" s="10">
        <f t="shared" si="28"/>
        <v>111661.81801141173</v>
      </c>
      <c r="J36" s="8" t="s">
        <v>11</v>
      </c>
      <c r="K36" s="9">
        <f t="shared" si="29"/>
        <v>3733779.9281231393</v>
      </c>
      <c r="L36" s="10">
        <f t="shared" si="30"/>
        <v>746755.98562462791</v>
      </c>
      <c r="M36" s="8" t="s">
        <v>11</v>
      </c>
      <c r="N36" s="28">
        <f>N35+O35-800000</f>
        <v>32490756.890827976</v>
      </c>
      <c r="O36" s="10">
        <f t="shared" si="32"/>
        <v>6498151.3781655952</v>
      </c>
      <c r="P36" s="8" t="s">
        <v>11</v>
      </c>
      <c r="Q36" s="9">
        <f t="shared" si="33"/>
        <v>289690852.07848805</v>
      </c>
      <c r="R36" s="10">
        <f t="shared" si="34"/>
        <v>57938170.415697612</v>
      </c>
      <c r="S36" s="8" t="s">
        <v>11</v>
      </c>
      <c r="T36" s="9">
        <f t="shared" si="35"/>
        <v>2323712736.0726705</v>
      </c>
      <c r="U36" s="10">
        <f t="shared" si="36"/>
        <v>464742547.2145341</v>
      </c>
      <c r="V36" s="8" t="s">
        <v>11</v>
      </c>
      <c r="W36" s="9">
        <f t="shared" si="37"/>
        <v>18138565991.715721</v>
      </c>
      <c r="X36" s="10">
        <f t="shared" si="38"/>
        <v>3627713198.3431444</v>
      </c>
      <c r="Y36" s="8"/>
      <c r="Z36" s="9"/>
      <c r="AA36" s="9"/>
    </row>
    <row r="37" spans="1:27" x14ac:dyDescent="0.3">
      <c r="A37" s="8" t="s">
        <v>12</v>
      </c>
      <c r="B37" s="9">
        <f t="shared" si="24"/>
        <v>8427.6412416000003</v>
      </c>
      <c r="C37" s="10">
        <f t="shared" si="39"/>
        <v>1685.5282483200001</v>
      </c>
      <c r="D37" s="8" t="s">
        <v>12</v>
      </c>
      <c r="E37" s="9">
        <f t="shared" si="25"/>
        <v>75141.695851970508</v>
      </c>
      <c r="F37" s="10">
        <f t="shared" si="26"/>
        <v>15028.339170394102</v>
      </c>
      <c r="G37" s="8" t="s">
        <v>12</v>
      </c>
      <c r="H37" s="9">
        <f t="shared" si="27"/>
        <v>669970.90806847031</v>
      </c>
      <c r="I37" s="10">
        <f t="shared" si="28"/>
        <v>133994.18161369406</v>
      </c>
      <c r="J37" s="8" t="s">
        <v>12</v>
      </c>
      <c r="K37" s="9">
        <f t="shared" si="29"/>
        <v>4480535.913747767</v>
      </c>
      <c r="L37" s="10">
        <f t="shared" si="30"/>
        <v>896107.18274955347</v>
      </c>
      <c r="M37" s="8" t="s">
        <v>12</v>
      </c>
      <c r="N37" s="9">
        <f>N36+O36</f>
        <v>38988908.268993571</v>
      </c>
      <c r="O37" s="10">
        <f t="shared" si="32"/>
        <v>7797781.6537987143</v>
      </c>
      <c r="P37" s="8" t="s">
        <v>12</v>
      </c>
      <c r="Q37" s="9">
        <f t="shared" si="33"/>
        <v>347629022.49418569</v>
      </c>
      <c r="R37" s="10">
        <f t="shared" si="34"/>
        <v>69525804.498837143</v>
      </c>
      <c r="S37" s="8" t="s">
        <v>12</v>
      </c>
      <c r="T37" s="9">
        <f t="shared" si="35"/>
        <v>2788455283.2872047</v>
      </c>
      <c r="U37" s="10">
        <f t="shared" si="36"/>
        <v>557691056.65744102</v>
      </c>
      <c r="V37" s="8" t="s">
        <v>12</v>
      </c>
      <c r="W37" s="9">
        <f t="shared" si="37"/>
        <v>21766279190.058865</v>
      </c>
      <c r="X37" s="10">
        <f t="shared" si="38"/>
        <v>4353255838.0117731</v>
      </c>
      <c r="Y37" s="8"/>
      <c r="Z37" s="9"/>
      <c r="AA37" s="9"/>
    </row>
    <row r="38" spans="1:27" ht="15" thickBot="1" x14ac:dyDescent="0.35">
      <c r="A38" s="11" t="s">
        <v>13</v>
      </c>
      <c r="B38" s="12">
        <f t="shared" si="24"/>
        <v>10113.169489920001</v>
      </c>
      <c r="C38" s="53">
        <f>B38*0.2</f>
        <v>2022.6338979840002</v>
      </c>
      <c r="D38" s="11" t="s">
        <v>13</v>
      </c>
      <c r="E38" s="12">
        <f t="shared" si="25"/>
        <v>90170.035022364609</v>
      </c>
      <c r="F38" s="10">
        <f t="shared" si="26"/>
        <v>18034.007004472922</v>
      </c>
      <c r="G38" s="11" t="s">
        <v>13</v>
      </c>
      <c r="H38" s="12">
        <f t="shared" si="27"/>
        <v>803965.08968216437</v>
      </c>
      <c r="I38" s="10">
        <f t="shared" si="28"/>
        <v>160793.01793643288</v>
      </c>
      <c r="J38" s="11" t="s">
        <v>13</v>
      </c>
      <c r="K38" s="12">
        <f t="shared" si="29"/>
        <v>5376643.0964973206</v>
      </c>
      <c r="L38" s="10">
        <f t="shared" si="30"/>
        <v>1075328.6192994642</v>
      </c>
      <c r="M38" s="11" t="s">
        <v>13</v>
      </c>
      <c r="N38" s="12">
        <f t="shared" si="31"/>
        <v>46786689.922792286</v>
      </c>
      <c r="O38" s="10">
        <f t="shared" si="32"/>
        <v>9357337.9845584575</v>
      </c>
      <c r="P38" s="11" t="s">
        <v>13</v>
      </c>
      <c r="Q38" s="12">
        <f t="shared" si="33"/>
        <v>417154826.9930228</v>
      </c>
      <c r="R38" s="10">
        <f t="shared" si="34"/>
        <v>83430965.398604572</v>
      </c>
      <c r="S38" s="11" t="s">
        <v>13</v>
      </c>
      <c r="T38" s="12">
        <f t="shared" si="35"/>
        <v>3346146339.9446459</v>
      </c>
      <c r="U38" s="10">
        <f t="shared" si="36"/>
        <v>669229267.98892927</v>
      </c>
      <c r="V38" s="11" t="s">
        <v>13</v>
      </c>
      <c r="W38" s="12">
        <f t="shared" si="37"/>
        <v>26119535028.070637</v>
      </c>
      <c r="X38" s="10">
        <f t="shared" si="38"/>
        <v>5223907005.6141281</v>
      </c>
      <c r="Y38" s="8"/>
      <c r="Z38" s="9"/>
      <c r="AA38" s="9"/>
    </row>
    <row r="39" spans="1:27" ht="15" thickBot="1" x14ac:dyDescent="0.35">
      <c r="A39" s="14" t="s">
        <v>15</v>
      </c>
      <c r="B39" s="15">
        <f t="shared" si="24"/>
        <v>12135.803387904001</v>
      </c>
      <c r="C39" s="16"/>
      <c r="D39" s="14" t="s">
        <v>15</v>
      </c>
      <c r="E39" s="15">
        <f t="shared" si="25"/>
        <v>108204.04202683753</v>
      </c>
      <c r="F39" s="16"/>
      <c r="G39" s="14" t="s">
        <v>15</v>
      </c>
      <c r="H39" s="15">
        <f t="shared" si="27"/>
        <v>964758.10761859722</v>
      </c>
      <c r="I39" s="16"/>
      <c r="J39" s="14" t="s">
        <v>15</v>
      </c>
      <c r="K39" s="15">
        <f t="shared" si="29"/>
        <v>6451971.7157967845</v>
      </c>
      <c r="L39" s="16"/>
      <c r="M39" s="14" t="s">
        <v>15</v>
      </c>
      <c r="N39" s="15">
        <f t="shared" si="31"/>
        <v>56144027.907350741</v>
      </c>
      <c r="O39" s="16"/>
      <c r="P39" s="14" t="s">
        <v>15</v>
      </c>
      <c r="Q39" s="15">
        <f t="shared" si="33"/>
        <v>500585792.39162737</v>
      </c>
      <c r="R39" s="16"/>
      <c r="S39" s="14" t="s">
        <v>15</v>
      </c>
      <c r="T39" s="42">
        <f>T38+U38</f>
        <v>4015375607.9335752</v>
      </c>
      <c r="U39" s="16"/>
      <c r="V39" s="14" t="s">
        <v>15</v>
      </c>
      <c r="W39" s="42">
        <f>W38+X38</f>
        <v>31343442033.684765</v>
      </c>
      <c r="X39" s="16"/>
      <c r="Y39" s="51"/>
      <c r="Z39" s="9"/>
      <c r="AA39" s="25"/>
    </row>
    <row r="40" spans="1:27" x14ac:dyDescent="0.3">
      <c r="C40" s="1">
        <f>SUM(C27:C39)</f>
        <v>10135.803387904001</v>
      </c>
      <c r="F40" s="1">
        <f>SUM(F27:F39)</f>
        <v>96068.23863893353</v>
      </c>
      <c r="I40" s="1">
        <f>SUM(I27:I39)</f>
        <v>856554.06559175975</v>
      </c>
      <c r="L40" s="1">
        <f>SUM(L27:L39)</f>
        <v>6087213.6081781872</v>
      </c>
      <c r="O40" s="1">
        <f>SUM(O27:O39)</f>
        <v>50492056.191553958</v>
      </c>
      <c r="R40" s="1">
        <f>SUM(R27:R39)</f>
        <v>444441764.48427659</v>
      </c>
      <c r="U40" s="1">
        <f>SUM(U27:U39)</f>
        <v>3664789815.5419478</v>
      </c>
      <c r="V40" s="25" t="s">
        <v>240</v>
      </c>
      <c r="X40" s="1"/>
      <c r="Y40" s="1"/>
      <c r="Z40" s="1"/>
      <c r="AA40" s="1"/>
    </row>
    <row r="41" spans="1:27" x14ac:dyDescent="0.3">
      <c r="A41" s="25" t="s">
        <v>63</v>
      </c>
      <c r="D41" s="25" t="s">
        <v>52</v>
      </c>
      <c r="G41" s="25" t="s">
        <v>239</v>
      </c>
      <c r="J41" s="25" t="s">
        <v>40</v>
      </c>
      <c r="M41" s="25" t="s">
        <v>140</v>
      </c>
      <c r="P41" s="25" t="s">
        <v>140</v>
      </c>
      <c r="S41" s="25" t="s">
        <v>170</v>
      </c>
      <c r="V41" s="25" t="s">
        <v>234</v>
      </c>
    </row>
    <row r="42" spans="1:27" x14ac:dyDescent="0.3">
      <c r="A42" s="25" t="s">
        <v>202</v>
      </c>
      <c r="J42" s="25" t="s">
        <v>217</v>
      </c>
      <c r="M42" s="25" t="s">
        <v>218</v>
      </c>
      <c r="V42" s="25" t="s">
        <v>235</v>
      </c>
    </row>
    <row r="43" spans="1:27" x14ac:dyDescent="0.3">
      <c r="A43" s="25"/>
      <c r="V43" s="25" t="s">
        <v>198</v>
      </c>
    </row>
    <row r="44" spans="1:27" x14ac:dyDescent="0.3">
      <c r="V44" t="s">
        <v>241</v>
      </c>
    </row>
    <row r="46" spans="1:27" ht="15" thickBot="1" x14ac:dyDescent="0.35">
      <c r="A46" t="s">
        <v>179</v>
      </c>
      <c r="S46" s="25" t="s">
        <v>88</v>
      </c>
    </row>
    <row r="47" spans="1:27" x14ac:dyDescent="0.3">
      <c r="A47" s="2">
        <v>2021</v>
      </c>
      <c r="B47" s="37" t="s">
        <v>67</v>
      </c>
      <c r="C47" s="4"/>
      <c r="D47" s="2">
        <v>2022</v>
      </c>
      <c r="E47" s="37" t="s">
        <v>68</v>
      </c>
      <c r="F47" s="4"/>
      <c r="G47" s="2">
        <v>2023</v>
      </c>
      <c r="H47" s="37" t="s">
        <v>69</v>
      </c>
      <c r="I47" s="4"/>
      <c r="J47" s="2">
        <v>2024</v>
      </c>
      <c r="K47" s="37" t="s">
        <v>70</v>
      </c>
      <c r="L47" s="4"/>
      <c r="M47" s="2">
        <v>2025</v>
      </c>
      <c r="N47" s="37" t="s">
        <v>71</v>
      </c>
      <c r="O47" s="4"/>
      <c r="P47" s="2">
        <v>2026</v>
      </c>
      <c r="Q47" s="37" t="s">
        <v>72</v>
      </c>
      <c r="R47" s="4"/>
      <c r="S47" s="35">
        <v>2027</v>
      </c>
      <c r="T47" s="37" t="s">
        <v>73</v>
      </c>
      <c r="U47" s="44"/>
      <c r="V47" s="45"/>
      <c r="W47" s="6"/>
      <c r="X47" s="6"/>
      <c r="Y47" s="6"/>
    </row>
    <row r="48" spans="1:27" x14ac:dyDescent="0.3">
      <c r="A48" s="5" t="s">
        <v>14</v>
      </c>
      <c r="B48" s="6" t="s">
        <v>0</v>
      </c>
      <c r="C48" s="7" t="s">
        <v>1</v>
      </c>
      <c r="D48" s="5" t="s">
        <v>14</v>
      </c>
      <c r="E48" s="6" t="s">
        <v>0</v>
      </c>
      <c r="F48" s="7" t="s">
        <v>1</v>
      </c>
      <c r="G48" s="5" t="s">
        <v>14</v>
      </c>
      <c r="H48" s="6" t="s">
        <v>0</v>
      </c>
      <c r="I48" s="7" t="s">
        <v>1</v>
      </c>
      <c r="J48" s="5" t="s">
        <v>14</v>
      </c>
      <c r="K48" s="6" t="s">
        <v>0</v>
      </c>
      <c r="L48" s="7" t="s">
        <v>1</v>
      </c>
      <c r="M48" s="5" t="s">
        <v>14</v>
      </c>
      <c r="N48" s="6" t="s">
        <v>0</v>
      </c>
      <c r="O48" s="7" t="s">
        <v>1</v>
      </c>
      <c r="P48" s="5" t="s">
        <v>14</v>
      </c>
      <c r="Q48" s="6" t="s">
        <v>0</v>
      </c>
      <c r="R48" s="7" t="s">
        <v>1</v>
      </c>
      <c r="S48" s="5" t="s">
        <v>14</v>
      </c>
      <c r="T48" s="6" t="s">
        <v>66</v>
      </c>
      <c r="U48" s="5"/>
      <c r="V48" s="6"/>
      <c r="W48" s="6"/>
      <c r="X48" s="6"/>
      <c r="Y48" s="6"/>
    </row>
    <row r="49" spans="1:25" x14ac:dyDescent="0.3">
      <c r="A49" s="8" t="s">
        <v>2</v>
      </c>
      <c r="B49" s="34">
        <v>2000</v>
      </c>
      <c r="C49" s="54">
        <v>-200</v>
      </c>
      <c r="D49" s="8" t="s">
        <v>2</v>
      </c>
      <c r="E49" s="9">
        <f>B60+C60</f>
        <v>27020.264402403998</v>
      </c>
      <c r="F49" s="10">
        <f>E49*0.3</f>
        <v>8106.0793207211991</v>
      </c>
      <c r="G49" s="8" t="s">
        <v>2</v>
      </c>
      <c r="H49" s="9">
        <f>E60+F60</f>
        <v>629520.42007915152</v>
      </c>
      <c r="I49" s="10">
        <f>H49*0.3</f>
        <v>188856.12602374546</v>
      </c>
      <c r="J49" s="8" t="s">
        <v>2</v>
      </c>
      <c r="K49" s="33">
        <f>H60+I60</f>
        <v>10901709.313344071</v>
      </c>
      <c r="L49" s="10">
        <f>K49*0.3</f>
        <v>3270512.7940032212</v>
      </c>
      <c r="M49" s="8" t="s">
        <v>2</v>
      </c>
      <c r="N49" s="32">
        <f>K61</f>
        <v>103988951.56283405</v>
      </c>
      <c r="O49" s="10">
        <f>N49*0.3</f>
        <v>31196685.468850214</v>
      </c>
      <c r="P49" s="8" t="s">
        <v>2</v>
      </c>
      <c r="Q49" s="30">
        <f>N60+O60</f>
        <v>2422743445.3084617</v>
      </c>
      <c r="R49" s="10">
        <f t="shared" ref="R49:R60" si="40">Q49*0.3</f>
        <v>726823033.59253848</v>
      </c>
      <c r="S49" s="8" t="s">
        <v>2</v>
      </c>
      <c r="T49" s="46">
        <v>0</v>
      </c>
      <c r="U49" s="6"/>
      <c r="V49" s="6"/>
      <c r="W49" s="9"/>
      <c r="X49" s="29"/>
      <c r="Y49" s="9"/>
    </row>
    <row r="50" spans="1:25" x14ac:dyDescent="0.3">
      <c r="A50" s="8" t="s">
        <v>3</v>
      </c>
      <c r="B50" s="34">
        <f t="shared" ref="B50:B61" si="41">B49+C49</f>
        <v>1800</v>
      </c>
      <c r="C50" s="57">
        <v>160</v>
      </c>
      <c r="D50" s="8" t="s">
        <v>3</v>
      </c>
      <c r="E50" s="9">
        <f t="shared" ref="E50:E61" si="42">E49+F49</f>
        <v>35126.343723125196</v>
      </c>
      <c r="F50" s="10">
        <f t="shared" ref="F50:F60" si="43">E50*0.3</f>
        <v>10537.903116937558</v>
      </c>
      <c r="G50" s="8" t="s">
        <v>3</v>
      </c>
      <c r="H50" s="9">
        <f t="shared" ref="H50:H61" si="44">H49+I49</f>
        <v>818376.54610289703</v>
      </c>
      <c r="I50" s="10">
        <f t="shared" ref="I50:I60" si="45">H50*0.3</f>
        <v>245512.96383086909</v>
      </c>
      <c r="J50" s="8" t="s">
        <v>3</v>
      </c>
      <c r="K50" s="9">
        <f t="shared" ref="K50:K60" si="46">K49+L49</f>
        <v>14172222.107347291</v>
      </c>
      <c r="L50" s="10">
        <f t="shared" ref="L50:L60" si="47">K50*0.3</f>
        <v>4251666.6322041871</v>
      </c>
      <c r="M50" s="8" t="s">
        <v>3</v>
      </c>
      <c r="N50" s="9">
        <f t="shared" ref="N50:N61" si="48">N49+O49</f>
        <v>135185637.03168428</v>
      </c>
      <c r="O50" s="10">
        <f t="shared" ref="O50:O60" si="49">N50*0.3</f>
        <v>40555691.109505281</v>
      </c>
      <c r="P50" s="8" t="s">
        <v>3</v>
      </c>
      <c r="Q50" s="9">
        <f t="shared" ref="Q50:Q61" si="50">Q49+R49</f>
        <v>3149566478.901</v>
      </c>
      <c r="R50" s="10">
        <f t="shared" si="40"/>
        <v>944869943.67030001</v>
      </c>
      <c r="S50" s="8" t="s">
        <v>3</v>
      </c>
      <c r="T50" s="10">
        <v>0</v>
      </c>
      <c r="U50" s="6"/>
      <c r="V50" s="6"/>
      <c r="W50" s="9"/>
      <c r="X50" s="9"/>
      <c r="Y50" s="9"/>
    </row>
    <row r="51" spans="1:25" x14ac:dyDescent="0.3">
      <c r="A51" s="8" t="s">
        <v>4</v>
      </c>
      <c r="B51" s="34">
        <f t="shared" si="41"/>
        <v>1960</v>
      </c>
      <c r="C51" s="10">
        <f t="shared" ref="C51:C59" si="51">B51*0.3</f>
        <v>588</v>
      </c>
      <c r="D51" s="8" t="s">
        <v>4</v>
      </c>
      <c r="E51" s="9">
        <f t="shared" si="42"/>
        <v>45664.246840062755</v>
      </c>
      <c r="F51" s="10">
        <f t="shared" si="43"/>
        <v>13699.274052018825</v>
      </c>
      <c r="G51" s="8" t="s">
        <v>4</v>
      </c>
      <c r="H51" s="9">
        <f t="shared" si="44"/>
        <v>1063889.5099337662</v>
      </c>
      <c r="I51" s="10">
        <f t="shared" si="45"/>
        <v>319166.85298012983</v>
      </c>
      <c r="J51" s="8" t="s">
        <v>4</v>
      </c>
      <c r="K51" s="9">
        <f t="shared" si="46"/>
        <v>18423888.739551477</v>
      </c>
      <c r="L51" s="10">
        <f t="shared" si="47"/>
        <v>5527166.621865443</v>
      </c>
      <c r="M51" s="8" t="s">
        <v>4</v>
      </c>
      <c r="N51" s="9">
        <f t="shared" si="48"/>
        <v>175741328.14118958</v>
      </c>
      <c r="O51" s="10">
        <f t="shared" si="49"/>
        <v>52722398.44235687</v>
      </c>
      <c r="P51" s="8" t="s">
        <v>4</v>
      </c>
      <c r="Q51" s="9">
        <f t="shared" si="50"/>
        <v>4094436422.5713</v>
      </c>
      <c r="R51" s="10">
        <f t="shared" si="40"/>
        <v>1228330926.77139</v>
      </c>
      <c r="S51" s="8" t="s">
        <v>4</v>
      </c>
      <c r="T51" s="10">
        <v>0</v>
      </c>
      <c r="U51" s="6"/>
      <c r="V51" s="6"/>
      <c r="W51" s="9"/>
      <c r="X51" s="9"/>
      <c r="Y51" s="9"/>
    </row>
    <row r="52" spans="1:25" x14ac:dyDescent="0.3">
      <c r="A52" s="8" t="s">
        <v>5</v>
      </c>
      <c r="B52" s="9">
        <f t="shared" si="41"/>
        <v>2548</v>
      </c>
      <c r="C52" s="10">
        <f t="shared" si="51"/>
        <v>764.4</v>
      </c>
      <c r="D52" s="8" t="s">
        <v>5</v>
      </c>
      <c r="E52" s="9">
        <f t="shared" si="42"/>
        <v>59363.520892081578</v>
      </c>
      <c r="F52" s="10">
        <f t="shared" si="43"/>
        <v>17809.056267624474</v>
      </c>
      <c r="G52" s="8" t="s">
        <v>5</v>
      </c>
      <c r="H52" s="9">
        <f t="shared" si="44"/>
        <v>1383056.3629138961</v>
      </c>
      <c r="I52" s="10">
        <f t="shared" si="45"/>
        <v>414916.90887416882</v>
      </c>
      <c r="J52" s="8" t="s">
        <v>5</v>
      </c>
      <c r="K52" s="9">
        <f t="shared" si="46"/>
        <v>23951055.361416921</v>
      </c>
      <c r="L52" s="10">
        <f t="shared" si="47"/>
        <v>7185316.6084250761</v>
      </c>
      <c r="M52" s="8" t="s">
        <v>5</v>
      </c>
      <c r="N52" s="9">
        <f t="shared" si="48"/>
        <v>228463726.58354646</v>
      </c>
      <c r="O52" s="10">
        <f t="shared" si="49"/>
        <v>68539117.975063935</v>
      </c>
      <c r="P52" s="8" t="s">
        <v>5</v>
      </c>
      <c r="Q52" s="25">
        <f>Q51+R51</f>
        <v>5322767349.3426895</v>
      </c>
      <c r="R52" s="10">
        <f t="shared" si="40"/>
        <v>1596830204.8028069</v>
      </c>
      <c r="S52" s="8" t="s">
        <v>5</v>
      </c>
      <c r="T52" s="10">
        <v>0</v>
      </c>
      <c r="U52" s="6"/>
      <c r="V52" s="6"/>
      <c r="W52" s="9"/>
      <c r="X52" s="9"/>
      <c r="Y52" s="9"/>
    </row>
    <row r="53" spans="1:25" x14ac:dyDescent="0.3">
      <c r="A53" s="8" t="s">
        <v>6</v>
      </c>
      <c r="B53" s="9">
        <f t="shared" si="41"/>
        <v>3312.4</v>
      </c>
      <c r="C53" s="10">
        <f t="shared" si="51"/>
        <v>993.72</v>
      </c>
      <c r="D53" s="8" t="s">
        <v>6</v>
      </c>
      <c r="E53" s="9">
        <f t="shared" si="42"/>
        <v>77172.577159706052</v>
      </c>
      <c r="F53" s="10">
        <f t="shared" si="43"/>
        <v>23151.773147911816</v>
      </c>
      <c r="G53" s="8" t="s">
        <v>6</v>
      </c>
      <c r="H53" s="9">
        <f t="shared" si="44"/>
        <v>1797973.2717880649</v>
      </c>
      <c r="I53" s="10">
        <f t="shared" si="45"/>
        <v>539391.98153641948</v>
      </c>
      <c r="J53" s="8" t="s">
        <v>6</v>
      </c>
      <c r="K53" s="9">
        <f t="shared" si="46"/>
        <v>31136371.969841998</v>
      </c>
      <c r="L53" s="10">
        <f t="shared" si="47"/>
        <v>9340911.5909525994</v>
      </c>
      <c r="M53" s="8" t="s">
        <v>6</v>
      </c>
      <c r="N53" s="9">
        <f t="shared" si="48"/>
        <v>297002844.55861038</v>
      </c>
      <c r="O53" s="10">
        <f t="shared" si="49"/>
        <v>89100853.367583111</v>
      </c>
      <c r="P53" s="8" t="s">
        <v>6</v>
      </c>
      <c r="Q53" s="9">
        <f t="shared" si="50"/>
        <v>6919597554.1454964</v>
      </c>
      <c r="R53" s="10">
        <f t="shared" si="40"/>
        <v>2075879266.2436488</v>
      </c>
      <c r="S53" s="8" t="s">
        <v>6</v>
      </c>
      <c r="T53" s="9">
        <v>0</v>
      </c>
      <c r="U53" s="8"/>
      <c r="V53" s="9"/>
      <c r="W53" s="9"/>
      <c r="X53" s="9"/>
      <c r="Y53" s="9"/>
    </row>
    <row r="54" spans="1:25" x14ac:dyDescent="0.3">
      <c r="A54" s="8" t="s">
        <v>7</v>
      </c>
      <c r="B54" s="9">
        <f t="shared" si="41"/>
        <v>4306.12</v>
      </c>
      <c r="C54" s="10">
        <f t="shared" si="51"/>
        <v>1291.836</v>
      </c>
      <c r="D54" s="8" t="s">
        <v>7</v>
      </c>
      <c r="E54" s="9">
        <f t="shared" si="42"/>
        <v>100324.35030761786</v>
      </c>
      <c r="F54" s="10">
        <f t="shared" si="43"/>
        <v>30097.305092285358</v>
      </c>
      <c r="G54" s="8" t="s">
        <v>7</v>
      </c>
      <c r="H54" s="28">
        <f>H53+I53-600000</f>
        <v>1737365.2533244845</v>
      </c>
      <c r="I54" s="10">
        <f t="shared" si="45"/>
        <v>521209.57599734532</v>
      </c>
      <c r="J54" s="8" t="s">
        <v>7</v>
      </c>
      <c r="K54" s="9">
        <f t="shared" si="46"/>
        <v>40477283.560794599</v>
      </c>
      <c r="L54" s="10">
        <f t="shared" si="47"/>
        <v>12143185.068238379</v>
      </c>
      <c r="M54" s="8" t="s">
        <v>7</v>
      </c>
      <c r="N54" s="25">
        <f>N53+O53</f>
        <v>386103697.92619348</v>
      </c>
      <c r="O54" s="10">
        <f t="shared" si="49"/>
        <v>115831109.37785804</v>
      </c>
      <c r="P54" s="8" t="s">
        <v>7</v>
      </c>
      <c r="Q54" s="9">
        <f t="shared" si="50"/>
        <v>8995476820.3891449</v>
      </c>
      <c r="R54" s="10">
        <f t="shared" si="40"/>
        <v>2698643046.1167436</v>
      </c>
      <c r="S54" s="8" t="s">
        <v>7</v>
      </c>
      <c r="T54" s="10">
        <v>0</v>
      </c>
      <c r="U54" s="6"/>
      <c r="V54" s="6"/>
      <c r="W54" s="9"/>
      <c r="X54" s="9"/>
      <c r="Y54" s="9"/>
    </row>
    <row r="55" spans="1:25" x14ac:dyDescent="0.3">
      <c r="A55" s="8" t="s">
        <v>8</v>
      </c>
      <c r="B55" s="9">
        <f t="shared" si="41"/>
        <v>5597.9560000000001</v>
      </c>
      <c r="C55" s="10">
        <f t="shared" si="51"/>
        <v>1679.3868</v>
      </c>
      <c r="D55" s="8" t="s">
        <v>8</v>
      </c>
      <c r="E55" s="9">
        <f t="shared" si="42"/>
        <v>130421.65539990322</v>
      </c>
      <c r="F55" s="10">
        <f t="shared" si="43"/>
        <v>39126.496619970967</v>
      </c>
      <c r="G55" s="8" t="s">
        <v>8</v>
      </c>
      <c r="H55" s="9">
        <f t="shared" si="44"/>
        <v>2258574.8293218296</v>
      </c>
      <c r="I55" s="10">
        <f t="shared" si="45"/>
        <v>677572.44879654888</v>
      </c>
      <c r="J55" s="8" t="s">
        <v>8</v>
      </c>
      <c r="K55" s="9">
        <f t="shared" si="46"/>
        <v>52620468.629032977</v>
      </c>
      <c r="L55" s="10">
        <f t="shared" si="47"/>
        <v>15786140.588709893</v>
      </c>
      <c r="M55" s="8" t="s">
        <v>8</v>
      </c>
      <c r="N55" s="9">
        <f t="shared" si="48"/>
        <v>501934807.30405152</v>
      </c>
      <c r="O55" s="10">
        <f t="shared" si="49"/>
        <v>150580442.19121546</v>
      </c>
      <c r="P55" s="8" t="s">
        <v>8</v>
      </c>
      <c r="Q55" s="28">
        <f>Q54+R54-500000000</f>
        <v>11194119866.505888</v>
      </c>
      <c r="R55" s="10">
        <f t="shared" si="40"/>
        <v>3358235959.9517665</v>
      </c>
      <c r="S55" s="8" t="s">
        <v>81</v>
      </c>
      <c r="T55" s="47">
        <f>Q61</f>
        <v>54031878518.729424</v>
      </c>
      <c r="U55" s="8"/>
      <c r="V55" s="9"/>
      <c r="W55" s="9"/>
      <c r="X55" s="9"/>
      <c r="Y55" s="9"/>
    </row>
    <row r="56" spans="1:25" x14ac:dyDescent="0.3">
      <c r="A56" s="8" t="s">
        <v>9</v>
      </c>
      <c r="B56" s="9">
        <f t="shared" si="41"/>
        <v>7277.3428000000004</v>
      </c>
      <c r="C56" s="10">
        <f t="shared" si="51"/>
        <v>2183.2028399999999</v>
      </c>
      <c r="D56" s="8" t="s">
        <v>9</v>
      </c>
      <c r="E56" s="9">
        <f t="shared" si="42"/>
        <v>169548.15201987419</v>
      </c>
      <c r="F56" s="10">
        <f t="shared" si="43"/>
        <v>50864.445605962253</v>
      </c>
      <c r="G56" s="8" t="s">
        <v>9</v>
      </c>
      <c r="H56" s="9">
        <f t="shared" si="44"/>
        <v>2936147.2781183785</v>
      </c>
      <c r="I56" s="10">
        <f t="shared" si="45"/>
        <v>880844.18343551352</v>
      </c>
      <c r="J56" s="8" t="s">
        <v>9</v>
      </c>
      <c r="K56" s="25">
        <f>K55+L55</f>
        <v>68406609.217742875</v>
      </c>
      <c r="L56" s="10">
        <f t="shared" si="47"/>
        <v>20521982.76532286</v>
      </c>
      <c r="M56" s="8" t="s">
        <v>9</v>
      </c>
      <c r="N56" s="9">
        <f t="shared" si="48"/>
        <v>652515249.49526691</v>
      </c>
      <c r="O56" s="10">
        <f t="shared" si="49"/>
        <v>195754574.84858006</v>
      </c>
      <c r="P56" s="8" t="s">
        <v>9</v>
      </c>
      <c r="Q56" s="25">
        <f t="shared" si="50"/>
        <v>14552355826.457655</v>
      </c>
      <c r="R56" s="10">
        <f t="shared" si="40"/>
        <v>4365706747.9372959</v>
      </c>
      <c r="S56" s="8" t="s">
        <v>82</v>
      </c>
      <c r="T56" s="10">
        <v>5000000000</v>
      </c>
      <c r="U56" s="8"/>
      <c r="V56" s="9"/>
      <c r="W56" s="9"/>
      <c r="X56" s="9"/>
      <c r="Y56" s="9"/>
    </row>
    <row r="57" spans="1:25" x14ac:dyDescent="0.3">
      <c r="A57" s="8" t="s">
        <v>10</v>
      </c>
      <c r="B57" s="9">
        <f t="shared" si="41"/>
        <v>9460.5456400000003</v>
      </c>
      <c r="C57" s="10">
        <f t="shared" si="51"/>
        <v>2838.1636920000001</v>
      </c>
      <c r="D57" s="8" t="s">
        <v>10</v>
      </c>
      <c r="E57" s="9">
        <f t="shared" si="42"/>
        <v>220412.59762583644</v>
      </c>
      <c r="F57" s="10">
        <f t="shared" si="43"/>
        <v>66123.779287750935</v>
      </c>
      <c r="G57" s="8" t="s">
        <v>10</v>
      </c>
      <c r="H57" s="9">
        <f t="shared" si="44"/>
        <v>3816991.4615538921</v>
      </c>
      <c r="I57" s="10">
        <f t="shared" si="45"/>
        <v>1145097.4384661675</v>
      </c>
      <c r="J57" s="8" t="s">
        <v>10</v>
      </c>
      <c r="K57" s="9">
        <f t="shared" si="46"/>
        <v>88928591.983065739</v>
      </c>
      <c r="L57" s="10">
        <f t="shared" si="47"/>
        <v>26678577.594919723</v>
      </c>
      <c r="M57" s="8" t="s">
        <v>10</v>
      </c>
      <c r="N57" s="9">
        <f t="shared" si="48"/>
        <v>848269824.34384704</v>
      </c>
      <c r="O57" s="10">
        <f t="shared" si="49"/>
        <v>254480947.30315411</v>
      </c>
      <c r="P57" s="8" t="s">
        <v>10</v>
      </c>
      <c r="Q57" s="25">
        <f>Q56+R56</f>
        <v>18918062574.394951</v>
      </c>
      <c r="R57" s="10">
        <f t="shared" si="40"/>
        <v>5675418772.3184853</v>
      </c>
      <c r="S57" s="8" t="s">
        <v>83</v>
      </c>
      <c r="T57" s="10">
        <v>5000000000</v>
      </c>
      <c r="U57" s="8"/>
      <c r="V57" s="9"/>
      <c r="W57" s="9"/>
      <c r="X57" s="9"/>
      <c r="Y57" s="9"/>
    </row>
    <row r="58" spans="1:25" x14ac:dyDescent="0.3">
      <c r="A58" s="8" t="s">
        <v>11</v>
      </c>
      <c r="B58" s="9">
        <f t="shared" si="41"/>
        <v>12298.709332</v>
      </c>
      <c r="C58" s="10">
        <f t="shared" si="51"/>
        <v>3689.6127996</v>
      </c>
      <c r="D58" s="8" t="s">
        <v>11</v>
      </c>
      <c r="E58" s="25">
        <f>E57+F57</f>
        <v>286536.37691358739</v>
      </c>
      <c r="F58" s="10">
        <f t="shared" si="43"/>
        <v>85960.913074076219</v>
      </c>
      <c r="G58" s="8" t="s">
        <v>11</v>
      </c>
      <c r="H58" s="9">
        <f t="shared" si="44"/>
        <v>4962088.9000200592</v>
      </c>
      <c r="I58" s="10">
        <f t="shared" si="45"/>
        <v>1488626.6700060177</v>
      </c>
      <c r="J58" s="8" t="s">
        <v>11</v>
      </c>
      <c r="K58" s="9">
        <f t="shared" si="46"/>
        <v>115607169.57798547</v>
      </c>
      <c r="L58" s="10">
        <f t="shared" si="47"/>
        <v>34682150.873395637</v>
      </c>
      <c r="M58" s="8" t="s">
        <v>11</v>
      </c>
      <c r="N58" s="25">
        <f>N57+O57</f>
        <v>1102750771.6470013</v>
      </c>
      <c r="O58" s="10">
        <f t="shared" si="49"/>
        <v>330825231.49410039</v>
      </c>
      <c r="P58" s="8" t="s">
        <v>11</v>
      </c>
      <c r="Q58" s="9">
        <f t="shared" si="50"/>
        <v>24593481346.713436</v>
      </c>
      <c r="R58" s="10">
        <f t="shared" si="40"/>
        <v>7378044404.0140305</v>
      </c>
      <c r="S58" s="8" t="s">
        <v>86</v>
      </c>
      <c r="T58" s="10">
        <v>4000000000</v>
      </c>
      <c r="U58" s="8"/>
      <c r="V58" s="9"/>
      <c r="W58" s="9"/>
      <c r="X58" s="9"/>
      <c r="Y58" s="9"/>
    </row>
    <row r="59" spans="1:25" x14ac:dyDescent="0.3">
      <c r="A59" s="8" t="s">
        <v>12</v>
      </c>
      <c r="B59" s="9">
        <f t="shared" si="41"/>
        <v>15988.3221316</v>
      </c>
      <c r="C59" s="10">
        <f t="shared" si="51"/>
        <v>4796.4966394799994</v>
      </c>
      <c r="D59" s="8" t="s">
        <v>12</v>
      </c>
      <c r="E59" s="9">
        <f t="shared" si="42"/>
        <v>372497.28998766362</v>
      </c>
      <c r="F59" s="10">
        <f t="shared" si="43"/>
        <v>111749.18699629909</v>
      </c>
      <c r="G59" s="8" t="s">
        <v>12</v>
      </c>
      <c r="H59" s="9">
        <f t="shared" si="44"/>
        <v>6450715.5700260773</v>
      </c>
      <c r="I59" s="10">
        <f t="shared" si="45"/>
        <v>1935214.6710078232</v>
      </c>
      <c r="J59" s="8" t="s">
        <v>12</v>
      </c>
      <c r="K59" s="25">
        <f>K58+L58</f>
        <v>150289320.45138109</v>
      </c>
      <c r="L59" s="10">
        <f t="shared" si="47"/>
        <v>45086796.135414325</v>
      </c>
      <c r="M59" s="8" t="s">
        <v>12</v>
      </c>
      <c r="N59" s="9">
        <f t="shared" si="48"/>
        <v>1433576003.1411016</v>
      </c>
      <c r="O59" s="10">
        <f t="shared" si="49"/>
        <v>430072800.94233048</v>
      </c>
      <c r="P59" s="8" t="s">
        <v>12</v>
      </c>
      <c r="Q59" s="9">
        <f t="shared" si="50"/>
        <v>31971525750.727467</v>
      </c>
      <c r="R59" s="10">
        <f t="shared" si="40"/>
        <v>9591457725.2182388</v>
      </c>
      <c r="S59" s="8" t="s">
        <v>80</v>
      </c>
      <c r="T59" s="10">
        <v>40031878519</v>
      </c>
      <c r="U59" s="8"/>
      <c r="V59" s="9"/>
      <c r="W59" s="9"/>
      <c r="X59" s="9"/>
      <c r="Y59" s="9"/>
    </row>
    <row r="60" spans="1:25" ht="15" thickBot="1" x14ac:dyDescent="0.35">
      <c r="A60" s="11" t="s">
        <v>13</v>
      </c>
      <c r="B60" s="12">
        <f t="shared" si="41"/>
        <v>20784.818771079998</v>
      </c>
      <c r="C60" s="53">
        <f>B60*0.3</f>
        <v>6235.4456313239989</v>
      </c>
      <c r="D60" s="11" t="s">
        <v>13</v>
      </c>
      <c r="E60" s="12">
        <f t="shared" si="42"/>
        <v>484246.4769839627</v>
      </c>
      <c r="F60" s="10">
        <f t="shared" si="43"/>
        <v>145273.94309518879</v>
      </c>
      <c r="G60" s="11" t="s">
        <v>13</v>
      </c>
      <c r="H60" s="12">
        <f t="shared" si="44"/>
        <v>8385930.2410339005</v>
      </c>
      <c r="I60" s="10">
        <f t="shared" si="45"/>
        <v>2515779.0723101702</v>
      </c>
      <c r="J60" s="11" t="s">
        <v>13</v>
      </c>
      <c r="K60" s="12">
        <f t="shared" si="46"/>
        <v>195376116.58679542</v>
      </c>
      <c r="L60" s="10">
        <f t="shared" si="47"/>
        <v>58612834.976038627</v>
      </c>
      <c r="M60" s="11" t="s">
        <v>13</v>
      </c>
      <c r="N60" s="12">
        <f t="shared" si="48"/>
        <v>1863648804.0834322</v>
      </c>
      <c r="O60" s="10">
        <f t="shared" si="49"/>
        <v>559094641.22502959</v>
      </c>
      <c r="P60" s="11" t="s">
        <v>13</v>
      </c>
      <c r="Q60" s="31">
        <f>Q59+R59</f>
        <v>41562983475.945709</v>
      </c>
      <c r="R60" s="10">
        <f t="shared" si="40"/>
        <v>12468895042.783712</v>
      </c>
      <c r="S60" s="8"/>
      <c r="T60" s="9"/>
      <c r="U60" s="8"/>
      <c r="V60" s="9"/>
      <c r="W60" s="9"/>
      <c r="X60" s="9"/>
      <c r="Y60" s="9"/>
    </row>
    <row r="61" spans="1:25" ht="15" thickBot="1" x14ac:dyDescent="0.35">
      <c r="A61" s="14" t="s">
        <v>15</v>
      </c>
      <c r="B61" s="15">
        <f t="shared" si="41"/>
        <v>27020.264402403998</v>
      </c>
      <c r="C61" s="16"/>
      <c r="D61" s="14" t="s">
        <v>15</v>
      </c>
      <c r="E61" s="15">
        <f t="shared" si="42"/>
        <v>629520.42007915152</v>
      </c>
      <c r="F61" s="16"/>
      <c r="G61" s="14" t="s">
        <v>15</v>
      </c>
      <c r="H61" s="15">
        <f t="shared" si="44"/>
        <v>10901709.313344071</v>
      </c>
      <c r="I61" s="16"/>
      <c r="J61" s="14" t="s">
        <v>15</v>
      </c>
      <c r="K61" s="38">
        <f>K60+L60-150000000</f>
        <v>103988951.56283405</v>
      </c>
      <c r="L61" s="16"/>
      <c r="M61" s="14" t="s">
        <v>15</v>
      </c>
      <c r="N61" s="15">
        <f t="shared" si="48"/>
        <v>2422743445.3084617</v>
      </c>
      <c r="O61" s="16"/>
      <c r="P61" s="14" t="s">
        <v>15</v>
      </c>
      <c r="Q61" s="38">
        <f t="shared" si="50"/>
        <v>54031878518.729424</v>
      </c>
      <c r="R61" s="16"/>
      <c r="S61" s="14" t="s">
        <v>84</v>
      </c>
      <c r="T61" s="36">
        <f>T55-T56-T57-T58-T59</f>
        <v>-0.27057647705078125</v>
      </c>
      <c r="W61" s="25"/>
      <c r="X61" s="9"/>
      <c r="Y61" s="25"/>
    </row>
    <row r="62" spans="1:25" ht="15" thickBot="1" x14ac:dyDescent="0.35">
      <c r="A62" s="14" t="s">
        <v>75</v>
      </c>
      <c r="B62" s="39"/>
      <c r="C62" s="36">
        <f>SUM(C49:C61)</f>
        <v>25020.264402403998</v>
      </c>
      <c r="D62" s="14" t="s">
        <v>75</v>
      </c>
      <c r="E62" s="39"/>
      <c r="F62" s="36">
        <f>SUM(F49:F61)</f>
        <v>602500.15567674744</v>
      </c>
      <c r="G62" s="14" t="s">
        <v>75</v>
      </c>
      <c r="H62" s="39"/>
      <c r="I62" s="36">
        <f>SUM(I49:I61)</f>
        <v>10872188.89326492</v>
      </c>
      <c r="J62" s="14" t="s">
        <v>75</v>
      </c>
      <c r="K62" s="39"/>
      <c r="L62" s="36">
        <f>SUM(L49:L61)</f>
        <v>243087242.24948999</v>
      </c>
      <c r="M62" s="14" t="s">
        <v>75</v>
      </c>
      <c r="N62" s="39"/>
      <c r="O62" s="36">
        <f>SUM(O49:O61)</f>
        <v>2318754493.7456274</v>
      </c>
      <c r="P62" s="14" t="s">
        <v>75</v>
      </c>
      <c r="Q62" s="39"/>
      <c r="R62" s="36">
        <f>SUM(R49:R61)</f>
        <v>52109135073.420959</v>
      </c>
      <c r="S62" s="25" t="s">
        <v>87</v>
      </c>
      <c r="T62" s="43"/>
      <c r="U62" s="6"/>
      <c r="V62" s="6"/>
      <c r="W62" s="6"/>
      <c r="X62" s="6"/>
      <c r="Y62" s="9"/>
    </row>
    <row r="63" spans="1:25" x14ac:dyDescent="0.3">
      <c r="A63" s="25" t="s">
        <v>220</v>
      </c>
      <c r="D63" s="25" t="s">
        <v>61</v>
      </c>
      <c r="G63" s="51" t="s">
        <v>212</v>
      </c>
      <c r="J63" s="25" t="s">
        <v>140</v>
      </c>
      <c r="M63" s="25" t="s">
        <v>58</v>
      </c>
      <c r="P63" s="25" t="s">
        <v>240</v>
      </c>
      <c r="S63" s="25" t="s">
        <v>236</v>
      </c>
      <c r="V63" s="6"/>
      <c r="W63" s="25"/>
      <c r="X63" s="6"/>
      <c r="Y63" s="6"/>
    </row>
    <row r="64" spans="1:25" x14ac:dyDescent="0.3">
      <c r="A64" s="25" t="s">
        <v>63</v>
      </c>
      <c r="D64" s="25" t="s">
        <v>59</v>
      </c>
      <c r="G64" s="25" t="s">
        <v>216</v>
      </c>
      <c r="J64" s="25" t="s">
        <v>170</v>
      </c>
      <c r="P64" s="25" t="s">
        <v>74</v>
      </c>
      <c r="S64" s="25" t="s">
        <v>237</v>
      </c>
      <c r="V64" s="6"/>
      <c r="W64" s="6"/>
      <c r="X64" s="6"/>
      <c r="Y64" s="6"/>
    </row>
    <row r="65" spans="1:21" x14ac:dyDescent="0.3">
      <c r="A65" s="25" t="s">
        <v>233</v>
      </c>
      <c r="D65" s="25"/>
      <c r="G65" s="25" t="s">
        <v>57</v>
      </c>
      <c r="J65" s="25"/>
      <c r="P65" s="25" t="s">
        <v>65</v>
      </c>
      <c r="S65" s="25" t="s">
        <v>211</v>
      </c>
    </row>
    <row r="66" spans="1:21" x14ac:dyDescent="0.3">
      <c r="M66" s="25"/>
      <c r="S66" t="s">
        <v>242</v>
      </c>
      <c r="U66" s="25"/>
    </row>
    <row r="69" spans="1:21" ht="15" thickBot="1" x14ac:dyDescent="0.35">
      <c r="A69" t="s">
        <v>89</v>
      </c>
      <c r="S69" s="25" t="s">
        <v>88</v>
      </c>
    </row>
    <row r="70" spans="1:21" x14ac:dyDescent="0.3">
      <c r="A70" s="2">
        <v>2021</v>
      </c>
      <c r="B70" s="37" t="s">
        <v>67</v>
      </c>
      <c r="C70" s="4" t="s">
        <v>203</v>
      </c>
      <c r="D70" s="2">
        <v>2022</v>
      </c>
      <c r="E70" s="37" t="s">
        <v>68</v>
      </c>
      <c r="F70" s="4" t="s">
        <v>205</v>
      </c>
      <c r="G70" s="2">
        <v>2023</v>
      </c>
      <c r="H70" s="37" t="s">
        <v>69</v>
      </c>
      <c r="I70" s="4" t="s">
        <v>204</v>
      </c>
      <c r="J70" s="2">
        <v>2024</v>
      </c>
      <c r="K70" s="37" t="s">
        <v>70</v>
      </c>
      <c r="L70" s="4" t="s">
        <v>206</v>
      </c>
      <c r="M70" s="2">
        <v>2025</v>
      </c>
      <c r="N70" s="37" t="s">
        <v>71</v>
      </c>
      <c r="O70" s="4" t="s">
        <v>207</v>
      </c>
      <c r="P70" s="2">
        <v>2026</v>
      </c>
      <c r="Q70" s="37" t="s">
        <v>72</v>
      </c>
      <c r="R70" s="4" t="s">
        <v>208</v>
      </c>
      <c r="S70" s="35">
        <v>2027</v>
      </c>
      <c r="T70" s="48" t="s">
        <v>73</v>
      </c>
    </row>
    <row r="71" spans="1:21" x14ac:dyDescent="0.3">
      <c r="A71" s="5" t="s">
        <v>14</v>
      </c>
      <c r="B71" s="6" t="s">
        <v>0</v>
      </c>
      <c r="C71" s="7" t="s">
        <v>1</v>
      </c>
      <c r="D71" s="5" t="s">
        <v>14</v>
      </c>
      <c r="E71" s="6" t="s">
        <v>0</v>
      </c>
      <c r="F71" s="7" t="s">
        <v>1</v>
      </c>
      <c r="G71" s="5" t="s">
        <v>14</v>
      </c>
      <c r="H71" s="6" t="s">
        <v>0</v>
      </c>
      <c r="I71" s="7" t="s">
        <v>1</v>
      </c>
      <c r="J71" s="5" t="s">
        <v>14</v>
      </c>
      <c r="K71" s="6" t="s">
        <v>0</v>
      </c>
      <c r="L71" s="7" t="s">
        <v>1</v>
      </c>
      <c r="M71" s="5" t="s">
        <v>14</v>
      </c>
      <c r="N71" s="6" t="s">
        <v>0</v>
      </c>
      <c r="O71" s="7" t="s">
        <v>1</v>
      </c>
      <c r="P71" s="5" t="s">
        <v>14</v>
      </c>
      <c r="Q71" s="6" t="s">
        <v>0</v>
      </c>
      <c r="R71" s="7" t="s">
        <v>1</v>
      </c>
      <c r="S71" s="5" t="s">
        <v>14</v>
      </c>
      <c r="T71" s="7" t="s">
        <v>66</v>
      </c>
    </row>
    <row r="72" spans="1:21" x14ac:dyDescent="0.3">
      <c r="A72" s="8" t="s">
        <v>107</v>
      </c>
      <c r="B72" s="34">
        <v>2000</v>
      </c>
      <c r="C72" s="57">
        <v>170</v>
      </c>
      <c r="D72" s="8" t="s">
        <v>107</v>
      </c>
      <c r="E72" s="25">
        <f>B122</f>
        <v>88708.140913624869</v>
      </c>
      <c r="F72" s="10">
        <f t="shared" ref="F72:F79" si="52">E72*0.1</f>
        <v>8870.8140913624866</v>
      </c>
      <c r="G72" s="8" t="s">
        <v>107</v>
      </c>
      <c r="H72" s="25">
        <f>E122</f>
        <v>5973374.3526677229</v>
      </c>
      <c r="I72" s="10">
        <f t="shared" ref="I72:I79" si="53">H72*0.1</f>
        <v>597337.43526677229</v>
      </c>
      <c r="J72" s="8" t="s">
        <v>107</v>
      </c>
      <c r="K72" s="25">
        <f>H122</f>
        <v>183378827.6703968</v>
      </c>
      <c r="L72" s="10">
        <f t="shared" ref="L72:L79" si="54">K72*0.1</f>
        <v>18337882.767039683</v>
      </c>
      <c r="M72" s="8" t="s">
        <v>107</v>
      </c>
      <c r="N72" s="25">
        <f>K122</f>
        <v>15606797024.900015</v>
      </c>
      <c r="O72" s="10">
        <v>0</v>
      </c>
      <c r="P72" s="8" t="s">
        <v>107</v>
      </c>
      <c r="Q72" s="30"/>
      <c r="R72" s="10"/>
      <c r="S72" s="8" t="s">
        <v>107</v>
      </c>
      <c r="T72" s="46"/>
    </row>
    <row r="73" spans="1:21" x14ac:dyDescent="0.3">
      <c r="A73" s="8" t="s">
        <v>108</v>
      </c>
      <c r="B73" s="34">
        <f t="shared" ref="B73:B79" si="55">B72+C72</f>
        <v>2170</v>
      </c>
      <c r="C73" s="54">
        <v>-170</v>
      </c>
      <c r="D73" s="8" t="s">
        <v>108</v>
      </c>
      <c r="E73" s="25">
        <f t="shared" ref="E73:E79" si="56">E72+F72</f>
        <v>97578.955004987351</v>
      </c>
      <c r="F73" s="10">
        <f t="shared" si="52"/>
        <v>9757.8955004987347</v>
      </c>
      <c r="G73" s="8" t="s">
        <v>108</v>
      </c>
      <c r="H73" s="25">
        <f t="shared" ref="H73:H79" si="57">H72+I72</f>
        <v>6570711.7879344951</v>
      </c>
      <c r="I73" s="10">
        <f t="shared" si="53"/>
        <v>657071.17879344954</v>
      </c>
      <c r="J73" s="8" t="s">
        <v>108</v>
      </c>
      <c r="K73" s="25">
        <f t="shared" ref="K73:K79" si="58">K72+L72</f>
        <v>201716710.43743649</v>
      </c>
      <c r="L73" s="10">
        <f t="shared" si="54"/>
        <v>20171671.043743651</v>
      </c>
      <c r="M73" s="8" t="s">
        <v>108</v>
      </c>
      <c r="N73" s="25">
        <f t="shared" ref="N73:N79" si="59">N72+O72</f>
        <v>15606797024.900015</v>
      </c>
      <c r="O73" s="10">
        <v>0</v>
      </c>
      <c r="P73" s="8" t="s">
        <v>108</v>
      </c>
      <c r="Q73" s="30"/>
      <c r="R73" s="10"/>
      <c r="S73" s="8" t="s">
        <v>108</v>
      </c>
      <c r="T73" s="46"/>
    </row>
    <row r="74" spans="1:21" x14ac:dyDescent="0.3">
      <c r="A74" s="8" t="s">
        <v>109</v>
      </c>
      <c r="B74" s="34">
        <f t="shared" si="55"/>
        <v>2000</v>
      </c>
      <c r="C74" s="54">
        <v>0</v>
      </c>
      <c r="D74" s="8" t="s">
        <v>109</v>
      </c>
      <c r="E74" s="25">
        <f t="shared" si="56"/>
        <v>107336.85050548609</v>
      </c>
      <c r="F74" s="10">
        <f t="shared" si="52"/>
        <v>10733.685050548609</v>
      </c>
      <c r="G74" s="8" t="s">
        <v>109</v>
      </c>
      <c r="H74" s="25">
        <f t="shared" si="57"/>
        <v>7227782.966727945</v>
      </c>
      <c r="I74" s="10">
        <f t="shared" si="53"/>
        <v>722778.2966727945</v>
      </c>
      <c r="J74" s="8" t="s">
        <v>109</v>
      </c>
      <c r="K74" s="25">
        <f t="shared" si="58"/>
        <v>221888381.48118013</v>
      </c>
      <c r="L74" s="10">
        <f t="shared" si="54"/>
        <v>22188838.148118015</v>
      </c>
      <c r="M74" s="8" t="s">
        <v>109</v>
      </c>
      <c r="N74" s="25">
        <f t="shared" si="59"/>
        <v>15606797024.900015</v>
      </c>
      <c r="O74" s="10">
        <v>0</v>
      </c>
      <c r="P74" s="8" t="s">
        <v>109</v>
      </c>
      <c r="Q74" s="30"/>
      <c r="R74" s="10"/>
      <c r="S74" s="8" t="s">
        <v>109</v>
      </c>
      <c r="T74" s="46"/>
    </row>
    <row r="75" spans="1:21" x14ac:dyDescent="0.3">
      <c r="A75" s="8" t="s">
        <v>110</v>
      </c>
      <c r="B75" s="34">
        <f t="shared" si="55"/>
        <v>2000</v>
      </c>
      <c r="C75" s="54">
        <v>-180</v>
      </c>
      <c r="D75" s="8" t="s">
        <v>110</v>
      </c>
      <c r="E75" s="25">
        <f t="shared" si="56"/>
        <v>118070.53555603469</v>
      </c>
      <c r="F75" s="10">
        <f t="shared" si="52"/>
        <v>11807.05355560347</v>
      </c>
      <c r="G75" s="8" t="s">
        <v>110</v>
      </c>
      <c r="H75" s="25">
        <f t="shared" si="57"/>
        <v>7950561.2634007391</v>
      </c>
      <c r="I75" s="10">
        <f t="shared" si="53"/>
        <v>795056.126340074</v>
      </c>
      <c r="J75" s="8" t="s">
        <v>110</v>
      </c>
      <c r="K75" s="25">
        <f t="shared" si="58"/>
        <v>244077219.62929815</v>
      </c>
      <c r="L75" s="10">
        <f t="shared" si="54"/>
        <v>24407721.962929815</v>
      </c>
      <c r="M75" s="8" t="s">
        <v>110</v>
      </c>
      <c r="N75" s="25">
        <f t="shared" si="59"/>
        <v>15606797024.900015</v>
      </c>
      <c r="O75" s="10">
        <v>0</v>
      </c>
      <c r="P75" s="8" t="s">
        <v>110</v>
      </c>
      <c r="Q75" s="30"/>
      <c r="R75" s="10"/>
      <c r="S75" s="8" t="s">
        <v>110</v>
      </c>
      <c r="T75" s="46"/>
    </row>
    <row r="76" spans="1:21" x14ac:dyDescent="0.3">
      <c r="A76" s="8" t="s">
        <v>90</v>
      </c>
      <c r="B76" s="34">
        <f t="shared" si="55"/>
        <v>1820</v>
      </c>
      <c r="C76" s="58">
        <v>480</v>
      </c>
      <c r="D76" s="8" t="s">
        <v>90</v>
      </c>
      <c r="E76" s="25">
        <f t="shared" si="56"/>
        <v>129877.58911163817</v>
      </c>
      <c r="F76" s="10">
        <f t="shared" si="52"/>
        <v>12987.758911163817</v>
      </c>
      <c r="G76" s="8" t="s">
        <v>90</v>
      </c>
      <c r="H76" s="25">
        <f t="shared" si="57"/>
        <v>8745617.3897408135</v>
      </c>
      <c r="I76" s="10">
        <f t="shared" si="53"/>
        <v>874561.73897408135</v>
      </c>
      <c r="J76" s="8" t="s">
        <v>90</v>
      </c>
      <c r="K76" s="25">
        <f t="shared" si="58"/>
        <v>268484941.59222794</v>
      </c>
      <c r="L76" s="10">
        <f t="shared" si="54"/>
        <v>26848494.159222797</v>
      </c>
      <c r="M76" s="8" t="s">
        <v>90</v>
      </c>
      <c r="N76" s="25">
        <f t="shared" si="59"/>
        <v>15606797024.900015</v>
      </c>
      <c r="O76" s="10">
        <v>0</v>
      </c>
      <c r="P76" s="8" t="s">
        <v>90</v>
      </c>
      <c r="Q76" s="9"/>
      <c r="R76" s="10"/>
      <c r="S76" s="8" t="s">
        <v>90</v>
      </c>
      <c r="T76" s="10"/>
    </row>
    <row r="77" spans="1:21" x14ac:dyDescent="0.3">
      <c r="A77" s="8" t="s">
        <v>91</v>
      </c>
      <c r="B77" s="34">
        <f t="shared" si="55"/>
        <v>2300</v>
      </c>
      <c r="C77" s="54">
        <v>-40</v>
      </c>
      <c r="D77" s="8" t="s">
        <v>91</v>
      </c>
      <c r="E77" s="25">
        <f t="shared" si="56"/>
        <v>142865.34802280198</v>
      </c>
      <c r="F77" s="10">
        <f t="shared" si="52"/>
        <v>14286.534802280199</v>
      </c>
      <c r="G77" s="8" t="s">
        <v>91</v>
      </c>
      <c r="H77" s="25">
        <f t="shared" si="57"/>
        <v>9620179.1287148949</v>
      </c>
      <c r="I77" s="10">
        <f t="shared" si="53"/>
        <v>962017.91287148953</v>
      </c>
      <c r="J77" s="8" t="s">
        <v>91</v>
      </c>
      <c r="K77" s="25">
        <f t="shared" si="58"/>
        <v>295333435.75145072</v>
      </c>
      <c r="L77" s="10">
        <f t="shared" si="54"/>
        <v>29533343.575145073</v>
      </c>
      <c r="M77" s="8" t="s">
        <v>91</v>
      </c>
      <c r="N77" s="25">
        <f t="shared" si="59"/>
        <v>15606797024.900015</v>
      </c>
      <c r="O77" s="10">
        <v>0</v>
      </c>
      <c r="P77" s="8" t="s">
        <v>91</v>
      </c>
      <c r="Q77" s="9"/>
      <c r="R77" s="10"/>
      <c r="S77" s="8" t="s">
        <v>91</v>
      </c>
      <c r="T77" s="10"/>
    </row>
    <row r="78" spans="1:21" x14ac:dyDescent="0.3">
      <c r="A78" s="8" t="s">
        <v>92</v>
      </c>
      <c r="B78" s="34">
        <f t="shared" si="55"/>
        <v>2260</v>
      </c>
      <c r="C78" s="54">
        <v>-103</v>
      </c>
      <c r="D78" s="8" t="s">
        <v>92</v>
      </c>
      <c r="E78" s="25">
        <f t="shared" si="56"/>
        <v>157151.88282508217</v>
      </c>
      <c r="F78" s="10">
        <f t="shared" si="52"/>
        <v>15715.188282508218</v>
      </c>
      <c r="G78" s="8" t="s">
        <v>92</v>
      </c>
      <c r="H78" s="25">
        <f t="shared" si="57"/>
        <v>10582197.041586384</v>
      </c>
      <c r="I78" s="10">
        <f t="shared" si="53"/>
        <v>1058219.7041586384</v>
      </c>
      <c r="J78" s="8" t="s">
        <v>92</v>
      </c>
      <c r="K78" s="25">
        <f t="shared" si="58"/>
        <v>324866779.32659578</v>
      </c>
      <c r="L78" s="10">
        <f t="shared" si="54"/>
        <v>32486677.932659581</v>
      </c>
      <c r="M78" s="8" t="s">
        <v>92</v>
      </c>
      <c r="N78" s="25">
        <f t="shared" si="59"/>
        <v>15606797024.900015</v>
      </c>
      <c r="O78" s="10">
        <v>0</v>
      </c>
      <c r="P78" s="8" t="s">
        <v>92</v>
      </c>
      <c r="Q78" s="9"/>
      <c r="R78" s="10"/>
      <c r="S78" s="8" t="s">
        <v>92</v>
      </c>
      <c r="T78" s="10"/>
    </row>
    <row r="79" spans="1:21" x14ac:dyDescent="0.3">
      <c r="A79" s="8" t="s">
        <v>93</v>
      </c>
      <c r="B79" s="34">
        <f t="shared" si="55"/>
        <v>2157</v>
      </c>
      <c r="C79" s="54">
        <v>-197</v>
      </c>
      <c r="D79" s="8" t="s">
        <v>93</v>
      </c>
      <c r="E79" s="25">
        <f t="shared" si="56"/>
        <v>172867.0711075904</v>
      </c>
      <c r="F79" s="10">
        <f t="shared" si="52"/>
        <v>17286.707110759042</v>
      </c>
      <c r="G79" s="8" t="s">
        <v>93</v>
      </c>
      <c r="H79" s="25">
        <f t="shared" si="57"/>
        <v>11640416.745745022</v>
      </c>
      <c r="I79" s="10">
        <f t="shared" si="53"/>
        <v>1164041.6745745023</v>
      </c>
      <c r="J79" s="8" t="s">
        <v>93</v>
      </c>
      <c r="K79" s="25">
        <f t="shared" si="58"/>
        <v>357353457.25925535</v>
      </c>
      <c r="L79" s="10">
        <f t="shared" si="54"/>
        <v>35735345.725925535</v>
      </c>
      <c r="M79" s="8" t="s">
        <v>93</v>
      </c>
      <c r="N79" s="25">
        <f t="shared" si="59"/>
        <v>15606797024.900015</v>
      </c>
      <c r="O79" s="10">
        <v>0</v>
      </c>
      <c r="P79" s="8" t="s">
        <v>93</v>
      </c>
      <c r="Q79" s="9"/>
      <c r="R79" s="10"/>
      <c r="S79" s="8" t="s">
        <v>93</v>
      </c>
      <c r="T79" s="10"/>
    </row>
    <row r="80" spans="1:21" x14ac:dyDescent="0.3">
      <c r="A80" s="8" t="s">
        <v>94</v>
      </c>
      <c r="B80" s="34">
        <f t="shared" ref="B80:B83" si="60">B79+C79</f>
        <v>1960</v>
      </c>
      <c r="C80" s="54">
        <v>-160</v>
      </c>
      <c r="D80" s="8" t="s">
        <v>94</v>
      </c>
      <c r="E80" s="25">
        <f t="shared" ref="E80:E121" si="61">E79+F79</f>
        <v>190153.77821834944</v>
      </c>
      <c r="F80" s="10">
        <f t="shared" ref="F80:F121" si="62">E80*0.1</f>
        <v>19015.377821834943</v>
      </c>
      <c r="G80" s="8" t="s">
        <v>94</v>
      </c>
      <c r="H80" s="25">
        <f t="shared" ref="H80:H121" si="63">H79+I79</f>
        <v>12804458.420319524</v>
      </c>
      <c r="I80" s="10">
        <f t="shared" ref="I80:I121" si="64">H80*0.1</f>
        <v>1280445.8420319525</v>
      </c>
      <c r="J80" s="8" t="s">
        <v>94</v>
      </c>
      <c r="K80" s="25">
        <f t="shared" ref="K80:K121" si="65">K79+L79</f>
        <v>393088802.98518085</v>
      </c>
      <c r="L80" s="10">
        <f t="shared" ref="L80:L121" si="66">K80*0.1</f>
        <v>39308880.298518084</v>
      </c>
      <c r="M80" s="8" t="s">
        <v>94</v>
      </c>
      <c r="N80" s="25">
        <f t="shared" ref="N80:N121" si="67">N79+O79</f>
        <v>15606797024.900015</v>
      </c>
      <c r="O80" s="10">
        <v>0</v>
      </c>
      <c r="P80" s="8" t="s">
        <v>94</v>
      </c>
      <c r="Q80" s="9"/>
      <c r="R80" s="10"/>
      <c r="S80" s="8" t="s">
        <v>94</v>
      </c>
      <c r="T80" s="10"/>
    </row>
    <row r="81" spans="1:20" x14ac:dyDescent="0.3">
      <c r="A81" s="8" t="s">
        <v>95</v>
      </c>
      <c r="B81" s="34">
        <f t="shared" si="60"/>
        <v>1800</v>
      </c>
      <c r="C81" s="58">
        <v>160</v>
      </c>
      <c r="D81" s="8" t="s">
        <v>95</v>
      </c>
      <c r="E81" s="25">
        <f t="shared" si="61"/>
        <v>209169.15604018437</v>
      </c>
      <c r="F81" s="10">
        <f t="shared" si="62"/>
        <v>20916.915604018439</v>
      </c>
      <c r="G81" s="8" t="s">
        <v>95</v>
      </c>
      <c r="H81" s="25">
        <f>H80+I80</f>
        <v>14084904.262351476</v>
      </c>
      <c r="I81" s="10">
        <f t="shared" si="64"/>
        <v>1408490.4262351478</v>
      </c>
      <c r="J81" s="8" t="s">
        <v>95</v>
      </c>
      <c r="K81" s="25">
        <f t="shared" si="65"/>
        <v>432397683.28369892</v>
      </c>
      <c r="L81" s="10">
        <f t="shared" si="66"/>
        <v>43239768.328369893</v>
      </c>
      <c r="M81" s="8" t="s">
        <v>95</v>
      </c>
      <c r="N81" s="25">
        <f t="shared" si="67"/>
        <v>15606797024.900015</v>
      </c>
      <c r="O81" s="10">
        <v>0</v>
      </c>
      <c r="P81" s="8" t="s">
        <v>95</v>
      </c>
      <c r="Q81" s="9"/>
      <c r="R81" s="10"/>
      <c r="S81" s="8" t="s">
        <v>95</v>
      </c>
      <c r="T81" s="10"/>
    </row>
    <row r="82" spans="1:20" x14ac:dyDescent="0.3">
      <c r="A82" s="8" t="s">
        <v>96</v>
      </c>
      <c r="B82" s="34">
        <f t="shared" si="60"/>
        <v>1960</v>
      </c>
      <c r="C82" s="10">
        <f t="shared" ref="C82:C121" si="68">B82*0.1</f>
        <v>196</v>
      </c>
      <c r="D82" s="8" t="s">
        <v>96</v>
      </c>
      <c r="E82" s="25">
        <f t="shared" si="61"/>
        <v>230086.07164420281</v>
      </c>
      <c r="F82" s="10">
        <f t="shared" si="62"/>
        <v>23008.607164420282</v>
      </c>
      <c r="G82" s="8" t="s">
        <v>96</v>
      </c>
      <c r="H82" s="25">
        <f t="shared" si="63"/>
        <v>15493394.688586622</v>
      </c>
      <c r="I82" s="10">
        <f t="shared" si="64"/>
        <v>1549339.4688586623</v>
      </c>
      <c r="J82" s="8" t="s">
        <v>96</v>
      </c>
      <c r="K82" s="25">
        <f t="shared" si="65"/>
        <v>475637451.61206883</v>
      </c>
      <c r="L82" s="10">
        <f t="shared" si="66"/>
        <v>47563745.161206886</v>
      </c>
      <c r="M82" s="8" t="s">
        <v>96</v>
      </c>
      <c r="N82" s="25">
        <f t="shared" si="67"/>
        <v>15606797024.900015</v>
      </c>
      <c r="O82" s="10">
        <v>0</v>
      </c>
      <c r="P82" s="8" t="s">
        <v>96</v>
      </c>
      <c r="Q82" s="9"/>
      <c r="R82" s="10"/>
      <c r="S82" s="8" t="s">
        <v>96</v>
      </c>
      <c r="T82" s="10"/>
    </row>
    <row r="83" spans="1:20" x14ac:dyDescent="0.3">
      <c r="A83" s="8" t="s">
        <v>97</v>
      </c>
      <c r="B83" s="25">
        <f t="shared" si="60"/>
        <v>2156</v>
      </c>
      <c r="C83" s="10">
        <f t="shared" si="68"/>
        <v>215.60000000000002</v>
      </c>
      <c r="D83" s="8" t="s">
        <v>97</v>
      </c>
      <c r="E83" s="25">
        <f t="shared" si="61"/>
        <v>253094.67880862308</v>
      </c>
      <c r="F83" s="10">
        <f t="shared" si="62"/>
        <v>25309.46788086231</v>
      </c>
      <c r="G83" s="8" t="s">
        <v>97</v>
      </c>
      <c r="H83" s="25">
        <f t="shared" si="63"/>
        <v>17042734.157445285</v>
      </c>
      <c r="I83" s="10">
        <f t="shared" si="64"/>
        <v>1704273.4157445286</v>
      </c>
      <c r="J83" s="8" t="s">
        <v>97</v>
      </c>
      <c r="K83" s="25">
        <f t="shared" si="65"/>
        <v>523201196.77327573</v>
      </c>
      <c r="L83" s="10">
        <f t="shared" si="66"/>
        <v>52320119.677327573</v>
      </c>
      <c r="M83" s="8" t="s">
        <v>97</v>
      </c>
      <c r="N83" s="25">
        <f t="shared" si="67"/>
        <v>15606797024.900015</v>
      </c>
      <c r="O83" s="10">
        <v>0</v>
      </c>
      <c r="P83" s="8" t="s">
        <v>97</v>
      </c>
      <c r="Q83" s="9"/>
      <c r="R83" s="10"/>
      <c r="S83" s="8" t="s">
        <v>97</v>
      </c>
      <c r="T83" s="10"/>
    </row>
    <row r="84" spans="1:20" x14ac:dyDescent="0.3">
      <c r="A84" s="8" t="s">
        <v>99</v>
      </c>
      <c r="B84" s="25">
        <f t="shared" ref="B84:B87" si="69">B83+C83</f>
        <v>2371.6</v>
      </c>
      <c r="C84" s="10">
        <f t="shared" si="68"/>
        <v>237.16</v>
      </c>
      <c r="D84" s="8" t="s">
        <v>99</v>
      </c>
      <c r="E84" s="25">
        <f t="shared" si="61"/>
        <v>278404.14668948541</v>
      </c>
      <c r="F84" s="10">
        <f t="shared" si="62"/>
        <v>27840.414668948542</v>
      </c>
      <c r="G84" s="8" t="s">
        <v>99</v>
      </c>
      <c r="H84" s="25">
        <f t="shared" si="63"/>
        <v>18747007.573189814</v>
      </c>
      <c r="I84" s="10">
        <f t="shared" si="64"/>
        <v>1874700.7573189815</v>
      </c>
      <c r="J84" s="8" t="s">
        <v>99</v>
      </c>
      <c r="K84" s="25">
        <f t="shared" si="65"/>
        <v>575521316.45060325</v>
      </c>
      <c r="L84" s="10">
        <f t="shared" si="66"/>
        <v>57552131.645060331</v>
      </c>
      <c r="M84" s="8" t="s">
        <v>99</v>
      </c>
      <c r="N84" s="25">
        <f t="shared" si="67"/>
        <v>15606797024.900015</v>
      </c>
      <c r="O84" s="10">
        <v>0</v>
      </c>
      <c r="P84" s="8" t="s">
        <v>99</v>
      </c>
      <c r="Q84" s="9"/>
      <c r="R84" s="10"/>
      <c r="S84" s="8" t="s">
        <v>99</v>
      </c>
      <c r="T84" s="10"/>
    </row>
    <row r="85" spans="1:20" x14ac:dyDescent="0.3">
      <c r="A85" s="8" t="s">
        <v>100</v>
      </c>
      <c r="B85" s="25">
        <f t="shared" si="69"/>
        <v>2608.7599999999998</v>
      </c>
      <c r="C85" s="10">
        <f t="shared" si="68"/>
        <v>260.87599999999998</v>
      </c>
      <c r="D85" s="8" t="s">
        <v>100</v>
      </c>
      <c r="E85" s="25">
        <f t="shared" si="61"/>
        <v>306244.56135843397</v>
      </c>
      <c r="F85" s="10">
        <f t="shared" si="62"/>
        <v>30624.4561358434</v>
      </c>
      <c r="G85" s="8" t="s">
        <v>100</v>
      </c>
      <c r="H85" s="25">
        <f t="shared" si="63"/>
        <v>20621708.330508795</v>
      </c>
      <c r="I85" s="10">
        <f t="shared" si="64"/>
        <v>2062170.8330508796</v>
      </c>
      <c r="J85" s="8" t="s">
        <v>100</v>
      </c>
      <c r="K85" s="25">
        <f t="shared" si="65"/>
        <v>633073448.09566355</v>
      </c>
      <c r="L85" s="10">
        <f t="shared" si="66"/>
        <v>63307344.809566356</v>
      </c>
      <c r="M85" s="8" t="s">
        <v>100</v>
      </c>
      <c r="N85" s="25">
        <f t="shared" si="67"/>
        <v>15606797024.900015</v>
      </c>
      <c r="O85" s="10">
        <v>0</v>
      </c>
      <c r="P85" s="8" t="s">
        <v>100</v>
      </c>
      <c r="Q85" s="9"/>
      <c r="R85" s="10"/>
      <c r="S85" s="8" t="s">
        <v>100</v>
      </c>
      <c r="T85" s="10"/>
    </row>
    <row r="86" spans="1:20" x14ac:dyDescent="0.3">
      <c r="A86" s="8" t="s">
        <v>101</v>
      </c>
      <c r="B86" s="25">
        <f t="shared" si="69"/>
        <v>2869.6359999999995</v>
      </c>
      <c r="C86" s="10">
        <f t="shared" si="68"/>
        <v>286.96359999999999</v>
      </c>
      <c r="D86" s="8" t="s">
        <v>101</v>
      </c>
      <c r="E86" s="25">
        <f t="shared" si="61"/>
        <v>336869.01749427739</v>
      </c>
      <c r="F86" s="10">
        <f t="shared" si="62"/>
        <v>33686.901749427743</v>
      </c>
      <c r="G86" s="8" t="s">
        <v>101</v>
      </c>
      <c r="H86" s="25">
        <f t="shared" si="63"/>
        <v>22683879.163559675</v>
      </c>
      <c r="I86" s="10">
        <f t="shared" si="64"/>
        <v>2268387.9163559675</v>
      </c>
      <c r="J86" s="8" t="s">
        <v>101</v>
      </c>
      <c r="K86" s="25">
        <f t="shared" si="65"/>
        <v>696380792.90522993</v>
      </c>
      <c r="L86" s="10">
        <f t="shared" si="66"/>
        <v>69638079.290522993</v>
      </c>
      <c r="M86" s="8" t="s">
        <v>101</v>
      </c>
      <c r="N86" s="25">
        <f t="shared" si="67"/>
        <v>15606797024.900015</v>
      </c>
      <c r="O86" s="10">
        <v>0</v>
      </c>
      <c r="P86" s="8" t="s">
        <v>101</v>
      </c>
      <c r="Q86" s="9"/>
      <c r="R86" s="10"/>
      <c r="S86" s="8" t="s">
        <v>101</v>
      </c>
      <c r="T86" s="10"/>
    </row>
    <row r="87" spans="1:20" x14ac:dyDescent="0.3">
      <c r="A87" s="8" t="s">
        <v>102</v>
      </c>
      <c r="B87" s="25">
        <f t="shared" si="69"/>
        <v>3156.5995999999996</v>
      </c>
      <c r="C87" s="10">
        <f t="shared" si="68"/>
        <v>315.65995999999996</v>
      </c>
      <c r="D87" s="8" t="s">
        <v>102</v>
      </c>
      <c r="E87" s="25">
        <f t="shared" si="61"/>
        <v>370555.91924370511</v>
      </c>
      <c r="F87" s="10">
        <f t="shared" si="62"/>
        <v>37055.591924370514</v>
      </c>
      <c r="G87" s="8" t="s">
        <v>102</v>
      </c>
      <c r="H87" s="25">
        <f t="shared" si="63"/>
        <v>24952267.079915643</v>
      </c>
      <c r="I87" s="10">
        <f t="shared" si="64"/>
        <v>2495226.7079915642</v>
      </c>
      <c r="J87" s="8" t="s">
        <v>102</v>
      </c>
      <c r="K87" s="25">
        <f t="shared" si="65"/>
        <v>766018872.19575286</v>
      </c>
      <c r="L87" s="10">
        <f t="shared" si="66"/>
        <v>76601887.219575286</v>
      </c>
      <c r="M87" s="8" t="s">
        <v>102</v>
      </c>
      <c r="N87" s="25">
        <f t="shared" si="67"/>
        <v>15606797024.900015</v>
      </c>
      <c r="O87" s="10">
        <v>0</v>
      </c>
      <c r="P87" s="8" t="s">
        <v>102</v>
      </c>
      <c r="Q87" s="9"/>
      <c r="R87" s="10"/>
      <c r="S87" s="8" t="s">
        <v>102</v>
      </c>
      <c r="T87" s="10"/>
    </row>
    <row r="88" spans="1:20" x14ac:dyDescent="0.3">
      <c r="A88" s="8" t="s">
        <v>98</v>
      </c>
      <c r="B88" s="25">
        <f t="shared" ref="B88" si="70">B87+C87</f>
        <v>3472.2595599999995</v>
      </c>
      <c r="C88" s="10">
        <f t="shared" si="68"/>
        <v>347.225956</v>
      </c>
      <c r="D88" s="8" t="s">
        <v>98</v>
      </c>
      <c r="E88" s="25">
        <f t="shared" si="61"/>
        <v>407611.51116807561</v>
      </c>
      <c r="F88" s="10">
        <f t="shared" si="62"/>
        <v>40761.151116807567</v>
      </c>
      <c r="G88" s="8" t="s">
        <v>98</v>
      </c>
      <c r="H88" s="25">
        <f t="shared" si="63"/>
        <v>27447493.787907206</v>
      </c>
      <c r="I88" s="10">
        <f t="shared" si="64"/>
        <v>2744749.3787907208</v>
      </c>
      <c r="J88" s="8" t="s">
        <v>98</v>
      </c>
      <c r="K88" s="25">
        <f t="shared" si="65"/>
        <v>842620759.41532815</v>
      </c>
      <c r="L88" s="10">
        <f t="shared" si="66"/>
        <v>84262075.94153282</v>
      </c>
      <c r="M88" s="8" t="s">
        <v>98</v>
      </c>
      <c r="N88" s="25">
        <f t="shared" si="67"/>
        <v>15606797024.900015</v>
      </c>
      <c r="O88" s="10">
        <v>0</v>
      </c>
      <c r="P88" s="8" t="s">
        <v>98</v>
      </c>
      <c r="Q88" s="9"/>
      <c r="R88" s="10"/>
      <c r="S88" s="8" t="s">
        <v>98</v>
      </c>
      <c r="T88" s="10"/>
    </row>
    <row r="89" spans="1:20" x14ac:dyDescent="0.3">
      <c r="A89" s="8" t="s">
        <v>103</v>
      </c>
      <c r="B89" s="25">
        <f t="shared" ref="B89:B112" si="71">B88+C88</f>
        <v>3819.4855159999997</v>
      </c>
      <c r="C89" s="10">
        <f t="shared" si="68"/>
        <v>381.94855159999997</v>
      </c>
      <c r="D89" s="8" t="s">
        <v>103</v>
      </c>
      <c r="E89" s="25">
        <f>E88+F88</f>
        <v>448372.6622848832</v>
      </c>
      <c r="F89" s="10">
        <f t="shared" si="62"/>
        <v>44837.266228488326</v>
      </c>
      <c r="G89" s="8" t="s">
        <v>103</v>
      </c>
      <c r="H89" s="25">
        <f t="shared" si="63"/>
        <v>30192243.166697927</v>
      </c>
      <c r="I89" s="10">
        <f t="shared" si="64"/>
        <v>3019224.3166697929</v>
      </c>
      <c r="J89" s="8" t="s">
        <v>103</v>
      </c>
      <c r="K89" s="25">
        <f t="shared" si="65"/>
        <v>926882835.356861</v>
      </c>
      <c r="L89" s="10">
        <f t="shared" si="66"/>
        <v>92688283.535686105</v>
      </c>
      <c r="M89" s="8" t="s">
        <v>103</v>
      </c>
      <c r="N89" s="25">
        <f t="shared" si="67"/>
        <v>15606797024.900015</v>
      </c>
      <c r="O89" s="10">
        <v>0</v>
      </c>
      <c r="P89" s="8" t="s">
        <v>103</v>
      </c>
      <c r="Q89" s="9"/>
      <c r="R89" s="10"/>
      <c r="S89" s="8" t="s">
        <v>103</v>
      </c>
      <c r="T89" s="10"/>
    </row>
    <row r="90" spans="1:20" x14ac:dyDescent="0.3">
      <c r="A90" s="8" t="s">
        <v>104</v>
      </c>
      <c r="B90" s="25">
        <f t="shared" si="71"/>
        <v>4201.4340675999993</v>
      </c>
      <c r="C90" s="10">
        <f t="shared" si="68"/>
        <v>420.14340675999995</v>
      </c>
      <c r="D90" s="8" t="s">
        <v>104</v>
      </c>
      <c r="E90" s="25">
        <f t="shared" si="61"/>
        <v>493209.9285133715</v>
      </c>
      <c r="F90" s="10">
        <f t="shared" si="62"/>
        <v>49320.992851337156</v>
      </c>
      <c r="G90" s="8" t="s">
        <v>104</v>
      </c>
      <c r="H90" s="25">
        <f t="shared" si="63"/>
        <v>33211467.483367719</v>
      </c>
      <c r="I90" s="10">
        <f t="shared" si="64"/>
        <v>3321146.748336772</v>
      </c>
      <c r="J90" s="8" t="s">
        <v>104</v>
      </c>
      <c r="K90" s="25">
        <f t="shared" si="65"/>
        <v>1019571118.8925471</v>
      </c>
      <c r="L90" s="10">
        <f t="shared" si="66"/>
        <v>101957111.88925472</v>
      </c>
      <c r="M90" s="8" t="s">
        <v>104</v>
      </c>
      <c r="N90" s="25">
        <f t="shared" si="67"/>
        <v>15606797024.900015</v>
      </c>
      <c r="O90" s="10">
        <v>0</v>
      </c>
      <c r="P90" s="8" t="s">
        <v>104</v>
      </c>
      <c r="Q90" s="9"/>
      <c r="R90" s="10"/>
      <c r="S90" s="8" t="s">
        <v>104</v>
      </c>
      <c r="T90" s="10"/>
    </row>
    <row r="91" spans="1:20" x14ac:dyDescent="0.3">
      <c r="A91" s="8" t="s">
        <v>105</v>
      </c>
      <c r="B91" s="25">
        <f t="shared" si="71"/>
        <v>4621.5774743599995</v>
      </c>
      <c r="C91" s="10">
        <f t="shared" si="68"/>
        <v>462.15774743599997</v>
      </c>
      <c r="D91" s="8" t="s">
        <v>105</v>
      </c>
      <c r="E91" s="25">
        <f t="shared" si="61"/>
        <v>542530.92136470869</v>
      </c>
      <c r="F91" s="10">
        <f t="shared" si="62"/>
        <v>54253.09213647087</v>
      </c>
      <c r="G91" s="8" t="s">
        <v>105</v>
      </c>
      <c r="H91" s="25">
        <f t="shared" si="63"/>
        <v>36532614.231704488</v>
      </c>
      <c r="I91" s="10">
        <f t="shared" si="64"/>
        <v>3653261.4231704492</v>
      </c>
      <c r="J91" s="8" t="s">
        <v>105</v>
      </c>
      <c r="K91" s="25">
        <f t="shared" si="65"/>
        <v>1121528230.7818019</v>
      </c>
      <c r="L91" s="10">
        <f t="shared" si="66"/>
        <v>112152823.07818019</v>
      </c>
      <c r="M91" s="8" t="s">
        <v>105</v>
      </c>
      <c r="N91" s="25">
        <f t="shared" si="67"/>
        <v>15606797024.900015</v>
      </c>
      <c r="O91" s="10">
        <v>0</v>
      </c>
      <c r="P91" s="8" t="s">
        <v>105</v>
      </c>
      <c r="Q91" s="9"/>
      <c r="R91" s="10"/>
      <c r="S91" s="8" t="s">
        <v>105</v>
      </c>
      <c r="T91" s="10"/>
    </row>
    <row r="92" spans="1:20" x14ac:dyDescent="0.3">
      <c r="A92" s="8" t="s">
        <v>106</v>
      </c>
      <c r="B92" s="25">
        <f t="shared" si="71"/>
        <v>5083.7352217959997</v>
      </c>
      <c r="C92" s="10">
        <f t="shared" si="68"/>
        <v>508.3735221796</v>
      </c>
      <c r="D92" s="8" t="s">
        <v>106</v>
      </c>
      <c r="E92" s="25">
        <f t="shared" si="61"/>
        <v>596784.01350117952</v>
      </c>
      <c r="F92" s="10">
        <f t="shared" si="62"/>
        <v>59678.401350117958</v>
      </c>
      <c r="G92" s="8" t="s">
        <v>106</v>
      </c>
      <c r="H92" s="25">
        <f t="shared" si="63"/>
        <v>40185875.654874936</v>
      </c>
      <c r="I92" s="10">
        <f t="shared" si="64"/>
        <v>4018587.5654874938</v>
      </c>
      <c r="J92" s="8" t="s">
        <v>106</v>
      </c>
      <c r="K92" s="25">
        <f t="shared" si="65"/>
        <v>1233681053.859982</v>
      </c>
      <c r="L92" s="10">
        <f t="shared" si="66"/>
        <v>123368105.3859982</v>
      </c>
      <c r="M92" s="8" t="s">
        <v>106</v>
      </c>
      <c r="N92" s="25">
        <f t="shared" si="67"/>
        <v>15606797024.900015</v>
      </c>
      <c r="O92" s="10">
        <v>0</v>
      </c>
      <c r="P92" s="8" t="s">
        <v>106</v>
      </c>
      <c r="Q92" s="25"/>
      <c r="R92" s="10"/>
      <c r="S92" s="8" t="s">
        <v>106</v>
      </c>
      <c r="T92" s="10"/>
    </row>
    <row r="93" spans="1:20" x14ac:dyDescent="0.3">
      <c r="A93" s="8" t="s">
        <v>111</v>
      </c>
      <c r="B93" s="25">
        <f t="shared" si="71"/>
        <v>5592.1087439755993</v>
      </c>
      <c r="C93" s="10">
        <f t="shared" si="68"/>
        <v>559.21087439755991</v>
      </c>
      <c r="D93" s="8" t="s">
        <v>111</v>
      </c>
      <c r="E93" s="25">
        <f t="shared" si="61"/>
        <v>656462.41485129751</v>
      </c>
      <c r="F93" s="10">
        <f t="shared" si="62"/>
        <v>65646.241485129751</v>
      </c>
      <c r="G93" s="8" t="s">
        <v>111</v>
      </c>
      <c r="H93" s="25">
        <f t="shared" si="63"/>
        <v>44204463.220362432</v>
      </c>
      <c r="I93" s="10">
        <f t="shared" si="64"/>
        <v>4420446.322036243</v>
      </c>
      <c r="J93" s="8" t="s">
        <v>111</v>
      </c>
      <c r="K93" s="25">
        <f t="shared" si="65"/>
        <v>1357049159.2459803</v>
      </c>
      <c r="L93" s="10">
        <f t="shared" si="66"/>
        <v>135704915.92459804</v>
      </c>
      <c r="M93" s="8" t="s">
        <v>111</v>
      </c>
      <c r="N93" s="25">
        <f t="shared" si="67"/>
        <v>15606797024.900015</v>
      </c>
      <c r="O93" s="10">
        <v>0</v>
      </c>
      <c r="P93" s="8" t="s">
        <v>111</v>
      </c>
      <c r="Q93" s="25"/>
      <c r="R93" s="10"/>
      <c r="S93" s="8" t="s">
        <v>111</v>
      </c>
      <c r="T93" s="10"/>
    </row>
    <row r="94" spans="1:20" x14ac:dyDescent="0.3">
      <c r="A94" s="8" t="s">
        <v>112</v>
      </c>
      <c r="B94" s="25">
        <f t="shared" si="71"/>
        <v>6151.3196183731588</v>
      </c>
      <c r="C94" s="10">
        <f t="shared" si="68"/>
        <v>615.13196183731588</v>
      </c>
      <c r="D94" s="8" t="s">
        <v>112</v>
      </c>
      <c r="E94" s="25">
        <f t="shared" si="61"/>
        <v>722108.6563364272</v>
      </c>
      <c r="F94" s="10">
        <f t="shared" si="62"/>
        <v>72210.865633642723</v>
      </c>
      <c r="G94" s="8" t="s">
        <v>112</v>
      </c>
      <c r="H94" s="25">
        <f t="shared" si="63"/>
        <v>48624909.542398676</v>
      </c>
      <c r="I94" s="10">
        <f t="shared" si="64"/>
        <v>4862490.9542398676</v>
      </c>
      <c r="J94" s="8" t="s">
        <v>112</v>
      </c>
      <c r="K94" s="25">
        <f t="shared" si="65"/>
        <v>1492754075.1705782</v>
      </c>
      <c r="L94" s="10">
        <f t="shared" si="66"/>
        <v>149275407.51705784</v>
      </c>
      <c r="M94" s="8" t="s">
        <v>112</v>
      </c>
      <c r="N94" s="25">
        <f t="shared" si="67"/>
        <v>15606797024.900015</v>
      </c>
      <c r="O94" s="10">
        <v>0</v>
      </c>
      <c r="P94" s="8" t="s">
        <v>112</v>
      </c>
      <c r="Q94" s="25"/>
      <c r="R94" s="10"/>
      <c r="S94" s="8" t="s">
        <v>112</v>
      </c>
      <c r="T94" s="10"/>
    </row>
    <row r="95" spans="1:20" x14ac:dyDescent="0.3">
      <c r="A95" s="8" t="s">
        <v>113</v>
      </c>
      <c r="B95" s="25">
        <f t="shared" si="71"/>
        <v>6766.4515802104743</v>
      </c>
      <c r="C95" s="10">
        <f t="shared" si="68"/>
        <v>676.64515802104745</v>
      </c>
      <c r="D95" s="8" t="s">
        <v>113</v>
      </c>
      <c r="E95" s="25">
        <f t="shared" si="61"/>
        <v>794319.52197006997</v>
      </c>
      <c r="F95" s="10">
        <f t="shared" si="62"/>
        <v>79431.952197007005</v>
      </c>
      <c r="G95" s="8" t="s">
        <v>113</v>
      </c>
      <c r="H95" s="25">
        <f t="shared" si="63"/>
        <v>53487400.496638544</v>
      </c>
      <c r="I95" s="10">
        <f t="shared" si="64"/>
        <v>5348740.0496638548</v>
      </c>
      <c r="J95" s="8" t="s">
        <v>113</v>
      </c>
      <c r="K95" s="25">
        <f t="shared" si="65"/>
        <v>1642029482.6876361</v>
      </c>
      <c r="L95" s="10">
        <f t="shared" si="66"/>
        <v>164202948.26876363</v>
      </c>
      <c r="M95" s="8" t="s">
        <v>113</v>
      </c>
      <c r="N95" s="25">
        <f t="shared" si="67"/>
        <v>15606797024.900015</v>
      </c>
      <c r="O95" s="10">
        <v>0</v>
      </c>
      <c r="P95" s="8" t="s">
        <v>113</v>
      </c>
      <c r="Q95" s="25"/>
      <c r="R95" s="10"/>
      <c r="S95" s="8" t="s">
        <v>113</v>
      </c>
      <c r="T95" s="10"/>
    </row>
    <row r="96" spans="1:20" x14ac:dyDescent="0.3">
      <c r="A96" s="8" t="s">
        <v>114</v>
      </c>
      <c r="B96" s="25">
        <f t="shared" si="71"/>
        <v>7443.0967382315221</v>
      </c>
      <c r="C96" s="10">
        <f t="shared" si="68"/>
        <v>744.30967382315225</v>
      </c>
      <c r="D96" s="8" t="s">
        <v>114</v>
      </c>
      <c r="E96" s="25">
        <f t="shared" si="61"/>
        <v>873751.47416707699</v>
      </c>
      <c r="F96" s="10">
        <f t="shared" si="62"/>
        <v>87375.14741670771</v>
      </c>
      <c r="G96" s="8" t="s">
        <v>114</v>
      </c>
      <c r="H96" s="25">
        <f t="shared" si="63"/>
        <v>58836140.546302401</v>
      </c>
      <c r="I96" s="10">
        <f t="shared" si="64"/>
        <v>5883614.0546302404</v>
      </c>
      <c r="J96" s="8" t="s">
        <v>114</v>
      </c>
      <c r="K96" s="25">
        <f t="shared" si="65"/>
        <v>1806232430.9563997</v>
      </c>
      <c r="L96" s="10">
        <f t="shared" si="66"/>
        <v>180623243.09563997</v>
      </c>
      <c r="M96" s="8" t="s">
        <v>114</v>
      </c>
      <c r="N96" s="25">
        <f t="shared" si="67"/>
        <v>15606797024.900015</v>
      </c>
      <c r="O96" s="10">
        <v>0</v>
      </c>
      <c r="P96" s="8" t="s">
        <v>114</v>
      </c>
      <c r="Q96" s="9"/>
      <c r="R96" s="10"/>
      <c r="S96" s="8" t="s">
        <v>114</v>
      </c>
      <c r="T96" s="10"/>
    </row>
    <row r="97" spans="1:20" x14ac:dyDescent="0.3">
      <c r="A97" s="8" t="s">
        <v>115</v>
      </c>
      <c r="B97" s="25">
        <f t="shared" si="71"/>
        <v>8187.4064120546745</v>
      </c>
      <c r="C97" s="10">
        <f t="shared" si="68"/>
        <v>818.74064120546745</v>
      </c>
      <c r="D97" s="8" t="s">
        <v>115</v>
      </c>
      <c r="E97" s="25">
        <f t="shared" si="61"/>
        <v>961126.6215837847</v>
      </c>
      <c r="F97" s="10">
        <f t="shared" si="62"/>
        <v>96112.662158378473</v>
      </c>
      <c r="G97" s="8" t="s">
        <v>115</v>
      </c>
      <c r="H97" s="25">
        <f>H96+I96</f>
        <v>64719754.600932643</v>
      </c>
      <c r="I97" s="10">
        <f t="shared" si="64"/>
        <v>6471975.4600932645</v>
      </c>
      <c r="J97" s="8" t="s">
        <v>115</v>
      </c>
      <c r="K97" s="25">
        <f t="shared" si="65"/>
        <v>1986855674.0520396</v>
      </c>
      <c r="L97" s="10">
        <f t="shared" si="66"/>
        <v>198685567.40520397</v>
      </c>
      <c r="M97" s="8" t="s">
        <v>115</v>
      </c>
      <c r="N97" s="25">
        <f t="shared" si="67"/>
        <v>15606797024.900015</v>
      </c>
      <c r="O97" s="10">
        <v>0</v>
      </c>
      <c r="P97" s="8" t="s">
        <v>115</v>
      </c>
      <c r="Q97" s="9"/>
      <c r="R97" s="10"/>
      <c r="S97" s="8" t="s">
        <v>82</v>
      </c>
      <c r="T97" s="10">
        <v>7000000000</v>
      </c>
    </row>
    <row r="98" spans="1:20" x14ac:dyDescent="0.3">
      <c r="A98" s="8" t="s">
        <v>116</v>
      </c>
      <c r="B98" s="25">
        <f t="shared" si="71"/>
        <v>9006.1470532601415</v>
      </c>
      <c r="C98" s="10">
        <f t="shared" si="68"/>
        <v>900.61470532601425</v>
      </c>
      <c r="D98" s="8" t="s">
        <v>116</v>
      </c>
      <c r="E98" s="25">
        <f t="shared" si="61"/>
        <v>1057239.2837421631</v>
      </c>
      <c r="F98" s="10">
        <f t="shared" si="62"/>
        <v>105723.92837421631</v>
      </c>
      <c r="G98" s="8" t="s">
        <v>116</v>
      </c>
      <c r="H98" s="25">
        <f t="shared" si="63"/>
        <v>71191730.061025903</v>
      </c>
      <c r="I98" s="10">
        <f t="shared" si="64"/>
        <v>7119173.0061025908</v>
      </c>
      <c r="J98" s="8" t="s">
        <v>116</v>
      </c>
      <c r="K98" s="25">
        <f t="shared" si="65"/>
        <v>2185541241.4572434</v>
      </c>
      <c r="L98" s="10">
        <f t="shared" si="66"/>
        <v>218554124.14572436</v>
      </c>
      <c r="M98" s="8" t="s">
        <v>116</v>
      </c>
      <c r="N98" s="25">
        <f t="shared" si="67"/>
        <v>15606797024.900015</v>
      </c>
      <c r="O98" s="10">
        <v>0</v>
      </c>
      <c r="P98" s="8" t="s">
        <v>116</v>
      </c>
      <c r="Q98" s="9"/>
      <c r="R98" s="10"/>
      <c r="S98" s="8" t="s">
        <v>83</v>
      </c>
      <c r="T98" s="10">
        <v>7000000000</v>
      </c>
    </row>
    <row r="99" spans="1:20" x14ac:dyDescent="0.3">
      <c r="A99" s="8" t="s">
        <v>117</v>
      </c>
      <c r="B99" s="25">
        <f t="shared" si="71"/>
        <v>9906.7617585861553</v>
      </c>
      <c r="C99" s="10">
        <f t="shared" si="68"/>
        <v>990.67617585861558</v>
      </c>
      <c r="D99" s="8" t="s">
        <v>117</v>
      </c>
      <c r="E99" s="25">
        <f t="shared" si="61"/>
        <v>1162963.2121163793</v>
      </c>
      <c r="F99" s="10">
        <f t="shared" si="62"/>
        <v>116296.32121163793</v>
      </c>
      <c r="G99" s="8" t="s">
        <v>117</v>
      </c>
      <c r="H99" s="25">
        <f t="shared" si="63"/>
        <v>78310903.067128494</v>
      </c>
      <c r="I99" s="10">
        <f t="shared" si="64"/>
        <v>7831090.30671285</v>
      </c>
      <c r="J99" s="8" t="s">
        <v>117</v>
      </c>
      <c r="K99" s="25">
        <f t="shared" si="65"/>
        <v>2404095365.6029677</v>
      </c>
      <c r="L99" s="10">
        <f t="shared" si="66"/>
        <v>240409536.56029677</v>
      </c>
      <c r="M99" s="8" t="s">
        <v>117</v>
      </c>
      <c r="N99" s="25">
        <f t="shared" si="67"/>
        <v>15606797024.900015</v>
      </c>
      <c r="O99" s="10">
        <v>0</v>
      </c>
      <c r="P99" s="8" t="s">
        <v>117</v>
      </c>
      <c r="Q99" s="9"/>
      <c r="R99" s="10"/>
      <c r="S99" s="8" t="s">
        <v>86</v>
      </c>
      <c r="T99" s="10">
        <v>4000000000</v>
      </c>
    </row>
    <row r="100" spans="1:20" x14ac:dyDescent="0.3">
      <c r="A100" s="8" t="s">
        <v>118</v>
      </c>
      <c r="B100" s="25">
        <f t="shared" si="71"/>
        <v>10897.437934444772</v>
      </c>
      <c r="C100" s="10">
        <f t="shared" si="68"/>
        <v>1089.7437934444772</v>
      </c>
      <c r="D100" s="8" t="s">
        <v>118</v>
      </c>
      <c r="E100" s="25">
        <f t="shared" si="61"/>
        <v>1279259.5333280172</v>
      </c>
      <c r="F100" s="10">
        <f t="shared" si="62"/>
        <v>127925.95333280173</v>
      </c>
      <c r="G100" s="8" t="s">
        <v>118</v>
      </c>
      <c r="H100" s="25">
        <f t="shared" si="63"/>
        <v>86141993.373841345</v>
      </c>
      <c r="I100" s="10">
        <f t="shared" si="64"/>
        <v>8614199.3373841345</v>
      </c>
      <c r="J100" s="8" t="s">
        <v>118</v>
      </c>
      <c r="K100" s="25">
        <f t="shared" si="65"/>
        <v>2644504902.1632643</v>
      </c>
      <c r="L100" s="10">
        <f t="shared" si="66"/>
        <v>264450490.21632645</v>
      </c>
      <c r="M100" s="8" t="s">
        <v>118</v>
      </c>
      <c r="N100" s="25">
        <f t="shared" si="67"/>
        <v>15606797024.900015</v>
      </c>
      <c r="O100" s="10">
        <v>0</v>
      </c>
      <c r="P100" s="8" t="s">
        <v>118</v>
      </c>
      <c r="Q100" s="25"/>
      <c r="R100" s="10"/>
      <c r="S100" s="8" t="s">
        <v>169</v>
      </c>
      <c r="T100" s="10">
        <v>500000000</v>
      </c>
    </row>
    <row r="101" spans="1:20" x14ac:dyDescent="0.3">
      <c r="A101" s="8" t="s">
        <v>119</v>
      </c>
      <c r="B101" s="25">
        <f t="shared" si="71"/>
        <v>11987.181727889249</v>
      </c>
      <c r="C101" s="10">
        <f t="shared" si="68"/>
        <v>1198.7181727889249</v>
      </c>
      <c r="D101" s="8" t="s">
        <v>119</v>
      </c>
      <c r="E101" s="28">
        <f>E100+F100-600000</f>
        <v>807185.48666081904</v>
      </c>
      <c r="F101" s="10">
        <f t="shared" si="62"/>
        <v>80718.548666081915</v>
      </c>
      <c r="G101" s="8" t="s">
        <v>119</v>
      </c>
      <c r="H101" s="25">
        <f>H100+I100</f>
        <v>94756192.71122548</v>
      </c>
      <c r="I101" s="10">
        <f t="shared" si="64"/>
        <v>9475619.2711225487</v>
      </c>
      <c r="J101" s="8" t="s">
        <v>119</v>
      </c>
      <c r="K101" s="28">
        <f>K100+L100-800000000</f>
        <v>2108955392.3795905</v>
      </c>
      <c r="L101" s="10">
        <f t="shared" si="66"/>
        <v>210895539.23795906</v>
      </c>
      <c r="M101" s="8" t="s">
        <v>119</v>
      </c>
      <c r="N101" s="25">
        <f t="shared" si="67"/>
        <v>15606797024.900015</v>
      </c>
      <c r="O101" s="10">
        <v>0</v>
      </c>
      <c r="P101" s="8" t="s">
        <v>119</v>
      </c>
      <c r="Q101" s="25"/>
      <c r="R101" s="10"/>
      <c r="S101" s="8" t="s">
        <v>191</v>
      </c>
      <c r="T101" s="10">
        <v>950000000</v>
      </c>
    </row>
    <row r="102" spans="1:20" ht="15" thickBot="1" x14ac:dyDescent="0.35">
      <c r="A102" s="8" t="s">
        <v>120</v>
      </c>
      <c r="B102" s="25">
        <f t="shared" si="71"/>
        <v>13185.899900678174</v>
      </c>
      <c r="C102" s="10">
        <f t="shared" si="68"/>
        <v>1318.5899900678176</v>
      </c>
      <c r="D102" s="8" t="s">
        <v>120</v>
      </c>
      <c r="E102" s="25">
        <f t="shared" si="61"/>
        <v>887904.03532690089</v>
      </c>
      <c r="F102" s="10">
        <f t="shared" si="62"/>
        <v>88790.403532690092</v>
      </c>
      <c r="G102" s="8" t="s">
        <v>120</v>
      </c>
      <c r="H102" s="25">
        <f t="shared" si="63"/>
        <v>104231811.98234802</v>
      </c>
      <c r="I102" s="10">
        <f t="shared" si="64"/>
        <v>10423181.198234804</v>
      </c>
      <c r="J102" s="8" t="s">
        <v>120</v>
      </c>
      <c r="K102" s="25">
        <f t="shared" si="65"/>
        <v>2319850931.6175494</v>
      </c>
      <c r="L102" s="10">
        <f t="shared" si="66"/>
        <v>231985093.16175497</v>
      </c>
      <c r="M102" s="8" t="s">
        <v>120</v>
      </c>
      <c r="N102" s="25">
        <f t="shared" si="67"/>
        <v>15606797024.900015</v>
      </c>
      <c r="O102" s="10">
        <v>0</v>
      </c>
      <c r="P102" s="8" t="s">
        <v>120</v>
      </c>
      <c r="Q102" s="25"/>
      <c r="R102" s="10"/>
      <c r="S102" s="8" t="s">
        <v>80</v>
      </c>
      <c r="T102" s="10">
        <v>26292792789</v>
      </c>
    </row>
    <row r="103" spans="1:20" ht="15" thickBot="1" x14ac:dyDescent="0.35">
      <c r="A103" s="8" t="s">
        <v>121</v>
      </c>
      <c r="B103" s="25">
        <f t="shared" si="71"/>
        <v>14504.489890745992</v>
      </c>
      <c r="C103" s="10">
        <f t="shared" si="68"/>
        <v>1450.4489890745992</v>
      </c>
      <c r="D103" s="8" t="s">
        <v>121</v>
      </c>
      <c r="E103" s="25">
        <f t="shared" si="61"/>
        <v>976694.43885959103</v>
      </c>
      <c r="F103" s="10">
        <f t="shared" si="62"/>
        <v>97669.443885959103</v>
      </c>
      <c r="G103" s="8" t="s">
        <v>121</v>
      </c>
      <c r="H103" s="25">
        <f t="shared" si="63"/>
        <v>114654993.18058282</v>
      </c>
      <c r="I103" s="10">
        <f t="shared" si="64"/>
        <v>11465499.318058282</v>
      </c>
      <c r="J103" s="8" t="s">
        <v>121</v>
      </c>
      <c r="K103" s="25">
        <f t="shared" si="65"/>
        <v>2551836024.7793045</v>
      </c>
      <c r="L103" s="10">
        <f t="shared" si="66"/>
        <v>255183602.47793046</v>
      </c>
      <c r="M103" s="8" t="s">
        <v>121</v>
      </c>
      <c r="N103" s="25">
        <f t="shared" si="67"/>
        <v>15606797024.900015</v>
      </c>
      <c r="O103" s="10">
        <v>0</v>
      </c>
      <c r="P103" s="8" t="s">
        <v>121</v>
      </c>
      <c r="Q103" s="25"/>
      <c r="R103" s="10"/>
      <c r="S103" s="14" t="s">
        <v>84</v>
      </c>
      <c r="T103" s="36">
        <f>Q122-T97-T98-T99-T102-T100-T101</f>
        <v>-30135995764.099983</v>
      </c>
    </row>
    <row r="104" spans="1:20" x14ac:dyDescent="0.3">
      <c r="A104" s="8" t="s">
        <v>122</v>
      </c>
      <c r="B104" s="25">
        <f t="shared" si="71"/>
        <v>15954.938879820591</v>
      </c>
      <c r="C104" s="10">
        <f t="shared" si="68"/>
        <v>1595.4938879820593</v>
      </c>
      <c r="D104" s="8" t="s">
        <v>122</v>
      </c>
      <c r="E104" s="25">
        <f t="shared" si="61"/>
        <v>1074363.88274555</v>
      </c>
      <c r="F104" s="10">
        <f t="shared" si="62"/>
        <v>107436.38827455501</v>
      </c>
      <c r="G104" s="8" t="s">
        <v>122</v>
      </c>
      <c r="H104" s="25">
        <f t="shared" si="63"/>
        <v>126120492.4986411</v>
      </c>
      <c r="I104" s="10">
        <f t="shared" si="64"/>
        <v>12612049.249864111</v>
      </c>
      <c r="J104" s="8" t="s">
        <v>122</v>
      </c>
      <c r="K104" s="25">
        <f t="shared" si="65"/>
        <v>2807019627.2572351</v>
      </c>
      <c r="L104" s="10">
        <f t="shared" si="66"/>
        <v>280701962.72572351</v>
      </c>
      <c r="M104" s="8" t="s">
        <v>122</v>
      </c>
      <c r="N104" s="25">
        <f t="shared" si="67"/>
        <v>15606797024.900015</v>
      </c>
      <c r="O104" s="10">
        <v>0</v>
      </c>
      <c r="P104" s="8" t="s">
        <v>122</v>
      </c>
      <c r="Q104" s="25"/>
      <c r="R104" s="10"/>
      <c r="S104" s="25" t="s">
        <v>87</v>
      </c>
      <c r="T104" s="43"/>
    </row>
    <row r="105" spans="1:20" x14ac:dyDescent="0.3">
      <c r="A105" s="8" t="s">
        <v>123</v>
      </c>
      <c r="B105" s="25">
        <f t="shared" si="71"/>
        <v>17550.432767802649</v>
      </c>
      <c r="C105" s="10">
        <f t="shared" si="68"/>
        <v>1755.0432767802649</v>
      </c>
      <c r="D105" s="8" t="s">
        <v>123</v>
      </c>
      <c r="E105" s="25">
        <f t="shared" si="61"/>
        <v>1181800.2710201051</v>
      </c>
      <c r="F105" s="10">
        <f t="shared" si="62"/>
        <v>118180.02710201051</v>
      </c>
      <c r="G105" s="8" t="s">
        <v>123</v>
      </c>
      <c r="H105" s="25">
        <f>H104+I104</f>
        <v>138732541.7485052</v>
      </c>
      <c r="I105" s="10">
        <f t="shared" si="64"/>
        <v>13873254.174850522</v>
      </c>
      <c r="J105" s="8" t="s">
        <v>123</v>
      </c>
      <c r="K105" s="25">
        <f t="shared" si="65"/>
        <v>3087721589.9829588</v>
      </c>
      <c r="L105" s="10">
        <f t="shared" si="66"/>
        <v>308772158.9982959</v>
      </c>
      <c r="M105" s="8" t="s">
        <v>123</v>
      </c>
      <c r="N105" s="25">
        <f t="shared" si="67"/>
        <v>15606797024.900015</v>
      </c>
      <c r="O105" s="10">
        <v>0</v>
      </c>
      <c r="P105" s="8" t="s">
        <v>123</v>
      </c>
      <c r="Q105" s="25"/>
      <c r="R105" s="10"/>
      <c r="S105" s="25" t="s">
        <v>199</v>
      </c>
    </row>
    <row r="106" spans="1:20" x14ac:dyDescent="0.3">
      <c r="A106" s="8" t="s">
        <v>124</v>
      </c>
      <c r="B106" s="25">
        <f t="shared" si="71"/>
        <v>19305.476044582916</v>
      </c>
      <c r="C106" s="10">
        <f t="shared" si="68"/>
        <v>1930.5476044582917</v>
      </c>
      <c r="D106" s="8" t="s">
        <v>124</v>
      </c>
      <c r="E106" s="25">
        <f>E105+F105</f>
        <v>1299980.2981221157</v>
      </c>
      <c r="F106" s="10">
        <f t="shared" si="62"/>
        <v>129998.02981221158</v>
      </c>
      <c r="G106" s="8" t="s">
        <v>124</v>
      </c>
      <c r="H106" s="25">
        <f t="shared" si="63"/>
        <v>152605795.92335573</v>
      </c>
      <c r="I106" s="10">
        <f t="shared" si="64"/>
        <v>15260579.592335574</v>
      </c>
      <c r="J106" s="8" t="s">
        <v>124</v>
      </c>
      <c r="K106" s="25">
        <f t="shared" si="65"/>
        <v>3396493748.9812546</v>
      </c>
      <c r="L106" s="10">
        <f t="shared" si="66"/>
        <v>339649374.89812547</v>
      </c>
      <c r="M106" s="8" t="s">
        <v>124</v>
      </c>
      <c r="N106" s="25">
        <f t="shared" si="67"/>
        <v>15606797024.900015</v>
      </c>
      <c r="O106" s="10">
        <v>0</v>
      </c>
      <c r="P106" s="8" t="s">
        <v>124</v>
      </c>
      <c r="Q106" s="25"/>
      <c r="R106" s="10"/>
      <c r="S106" s="25" t="s">
        <v>200</v>
      </c>
    </row>
    <row r="107" spans="1:20" x14ac:dyDescent="0.3">
      <c r="A107" s="8" t="s">
        <v>125</v>
      </c>
      <c r="B107" s="25">
        <f t="shared" si="71"/>
        <v>21236.023649041206</v>
      </c>
      <c r="C107" s="10">
        <f t="shared" si="68"/>
        <v>2123.6023649041208</v>
      </c>
      <c r="D107" s="8" t="s">
        <v>125</v>
      </c>
      <c r="E107" s="25">
        <f t="shared" si="61"/>
        <v>1429978.3279343273</v>
      </c>
      <c r="F107" s="10">
        <f t="shared" si="62"/>
        <v>142997.83279343272</v>
      </c>
      <c r="G107" s="8" t="s">
        <v>125</v>
      </c>
      <c r="H107" s="25">
        <f t="shared" si="63"/>
        <v>167866375.51569131</v>
      </c>
      <c r="I107" s="10">
        <f t="shared" si="64"/>
        <v>16786637.55156913</v>
      </c>
      <c r="J107" s="8" t="s">
        <v>125</v>
      </c>
      <c r="K107" s="25">
        <f t="shared" si="65"/>
        <v>3736143123.8793802</v>
      </c>
      <c r="L107" s="10">
        <f t="shared" si="66"/>
        <v>373614312.38793802</v>
      </c>
      <c r="M107" s="8" t="s">
        <v>125</v>
      </c>
      <c r="N107" s="25">
        <f t="shared" si="67"/>
        <v>15606797024.900015</v>
      </c>
      <c r="O107" s="10">
        <v>0</v>
      </c>
      <c r="P107" s="8" t="s">
        <v>125</v>
      </c>
      <c r="Q107" s="25"/>
      <c r="R107" s="10"/>
      <c r="S107" s="25" t="s">
        <v>211</v>
      </c>
    </row>
    <row r="108" spans="1:20" x14ac:dyDescent="0.3">
      <c r="A108" s="8" t="s">
        <v>126</v>
      </c>
      <c r="B108" s="25">
        <f t="shared" si="71"/>
        <v>23359.626013945326</v>
      </c>
      <c r="C108" s="10">
        <f t="shared" si="68"/>
        <v>2335.9626013945326</v>
      </c>
      <c r="D108" s="8" t="s">
        <v>126</v>
      </c>
      <c r="E108" s="25">
        <f t="shared" si="61"/>
        <v>1572976.1607277601</v>
      </c>
      <c r="F108" s="10">
        <f t="shared" si="62"/>
        <v>157297.61607277603</v>
      </c>
      <c r="G108" s="8" t="s">
        <v>126</v>
      </c>
      <c r="H108" s="25">
        <f t="shared" si="63"/>
        <v>184653013.06726044</v>
      </c>
      <c r="I108" s="10">
        <f t="shared" si="64"/>
        <v>18465301.306726046</v>
      </c>
      <c r="J108" s="8" t="s">
        <v>126</v>
      </c>
      <c r="K108" s="25">
        <f t="shared" si="65"/>
        <v>4109757436.2673182</v>
      </c>
      <c r="L108" s="10">
        <f t="shared" si="66"/>
        <v>410975743.62673187</v>
      </c>
      <c r="M108" s="8" t="s">
        <v>126</v>
      </c>
      <c r="N108" s="25">
        <f t="shared" si="67"/>
        <v>15606797024.900015</v>
      </c>
      <c r="O108" s="10">
        <v>0</v>
      </c>
      <c r="P108" s="8" t="s">
        <v>126</v>
      </c>
      <c r="Q108" s="25"/>
      <c r="R108" s="10"/>
      <c r="S108" s="25"/>
    </row>
    <row r="109" spans="1:20" x14ac:dyDescent="0.3">
      <c r="A109" s="8" t="s">
        <v>127</v>
      </c>
      <c r="B109" s="25">
        <f t="shared" si="71"/>
        <v>25695.588615339861</v>
      </c>
      <c r="C109" s="10">
        <f t="shared" si="68"/>
        <v>2569.5588615339861</v>
      </c>
      <c r="D109" s="8" t="s">
        <v>127</v>
      </c>
      <c r="E109" s="25">
        <f>E108+F108</f>
        <v>1730273.7768005361</v>
      </c>
      <c r="F109" s="10">
        <f t="shared" si="62"/>
        <v>173027.37768005361</v>
      </c>
      <c r="G109" s="8" t="s">
        <v>127</v>
      </c>
      <c r="H109" s="28">
        <f>H108+I108-150000000</f>
        <v>53118314.373986483</v>
      </c>
      <c r="I109" s="10">
        <f t="shared" si="64"/>
        <v>5311831.4373986488</v>
      </c>
      <c r="J109" s="8" t="s">
        <v>127</v>
      </c>
      <c r="K109" s="25">
        <f t="shared" si="65"/>
        <v>4520733179.8940506</v>
      </c>
      <c r="L109" s="10">
        <f t="shared" si="66"/>
        <v>452073317.9894051</v>
      </c>
      <c r="M109" s="8" t="s">
        <v>127</v>
      </c>
      <c r="N109" s="25">
        <f t="shared" si="67"/>
        <v>15606797024.900015</v>
      </c>
      <c r="O109" s="10">
        <v>0</v>
      </c>
      <c r="P109" s="8" t="s">
        <v>127</v>
      </c>
      <c r="Q109" s="25"/>
      <c r="R109" s="10"/>
    </row>
    <row r="110" spans="1:20" x14ac:dyDescent="0.3">
      <c r="A110" s="8" t="s">
        <v>128</v>
      </c>
      <c r="B110" s="25">
        <f t="shared" si="71"/>
        <v>28265.147476873848</v>
      </c>
      <c r="C110" s="10">
        <f t="shared" si="68"/>
        <v>2826.5147476873849</v>
      </c>
      <c r="D110" s="8" t="s">
        <v>128</v>
      </c>
      <c r="E110" s="25">
        <f t="shared" si="61"/>
        <v>1903301.1544805898</v>
      </c>
      <c r="F110" s="10">
        <f t="shared" si="62"/>
        <v>190330.11544805899</v>
      </c>
      <c r="G110" s="8" t="s">
        <v>128</v>
      </c>
      <c r="H110" s="25">
        <f t="shared" si="63"/>
        <v>58430145.811385132</v>
      </c>
      <c r="I110" s="10">
        <f t="shared" si="64"/>
        <v>5843014.581138514</v>
      </c>
      <c r="J110" s="8" t="s">
        <v>128</v>
      </c>
      <c r="K110" s="25">
        <f t="shared" si="65"/>
        <v>4972806497.8834553</v>
      </c>
      <c r="L110" s="10">
        <f t="shared" si="66"/>
        <v>497280649.78834558</v>
      </c>
      <c r="M110" s="8" t="s">
        <v>128</v>
      </c>
      <c r="N110" s="25">
        <f t="shared" si="67"/>
        <v>15606797024.900015</v>
      </c>
      <c r="O110" s="10">
        <v>0</v>
      </c>
      <c r="P110" s="8" t="s">
        <v>128</v>
      </c>
      <c r="Q110" s="25"/>
      <c r="R110" s="10"/>
    </row>
    <row r="111" spans="1:20" x14ac:dyDescent="0.3">
      <c r="A111" s="8" t="s">
        <v>129</v>
      </c>
      <c r="B111" s="25">
        <f t="shared" si="71"/>
        <v>31091.662224561234</v>
      </c>
      <c r="C111" s="10">
        <f t="shared" si="68"/>
        <v>3109.1662224561237</v>
      </c>
      <c r="D111" s="8" t="s">
        <v>129</v>
      </c>
      <c r="E111" s="25">
        <f t="shared" si="61"/>
        <v>2093631.2699286488</v>
      </c>
      <c r="F111" s="10">
        <f t="shared" si="62"/>
        <v>209363.12699286488</v>
      </c>
      <c r="G111" s="8" t="s">
        <v>129</v>
      </c>
      <c r="H111" s="25">
        <f t="shared" si="63"/>
        <v>64273160.392523646</v>
      </c>
      <c r="I111" s="10">
        <f t="shared" si="64"/>
        <v>6427316.039252365</v>
      </c>
      <c r="J111" s="8" t="s">
        <v>129</v>
      </c>
      <c r="K111" s="25">
        <f t="shared" si="65"/>
        <v>5470087147.6718006</v>
      </c>
      <c r="L111" s="10">
        <f t="shared" si="66"/>
        <v>547008714.76718009</v>
      </c>
      <c r="M111" s="8" t="s">
        <v>129</v>
      </c>
      <c r="N111" s="25">
        <f t="shared" si="67"/>
        <v>15606797024.900015</v>
      </c>
      <c r="O111" s="10">
        <v>0</v>
      </c>
      <c r="P111" s="8" t="s">
        <v>129</v>
      </c>
      <c r="Q111" s="25"/>
      <c r="R111" s="10"/>
    </row>
    <row r="112" spans="1:20" x14ac:dyDescent="0.3">
      <c r="A112" s="8" t="s">
        <v>130</v>
      </c>
      <c r="B112" s="25">
        <f t="shared" si="71"/>
        <v>34200.82844701736</v>
      </c>
      <c r="C112" s="10">
        <f t="shared" si="68"/>
        <v>3420.0828447017361</v>
      </c>
      <c r="D112" s="8" t="s">
        <v>130</v>
      </c>
      <c r="E112" s="25">
        <f t="shared" si="61"/>
        <v>2302994.3969215136</v>
      </c>
      <c r="F112" s="10">
        <f t="shared" si="62"/>
        <v>230299.43969215138</v>
      </c>
      <c r="G112" s="8" t="s">
        <v>130</v>
      </c>
      <c r="H112" s="25">
        <f t="shared" si="63"/>
        <v>70700476.431776017</v>
      </c>
      <c r="I112" s="10">
        <f t="shared" si="64"/>
        <v>7070047.6431776024</v>
      </c>
      <c r="J112" s="8" t="s">
        <v>130</v>
      </c>
      <c r="K112" s="25">
        <f t="shared" si="65"/>
        <v>6017095862.4389811</v>
      </c>
      <c r="L112" s="10">
        <f t="shared" si="66"/>
        <v>601709586.24389815</v>
      </c>
      <c r="M112" s="8" t="s">
        <v>130</v>
      </c>
      <c r="N112" s="25">
        <f t="shared" si="67"/>
        <v>15606797024.900015</v>
      </c>
      <c r="O112" s="10">
        <v>0</v>
      </c>
      <c r="P112" s="8" t="s">
        <v>130</v>
      </c>
      <c r="Q112" s="9"/>
      <c r="R112" s="10"/>
    </row>
    <row r="113" spans="1:21" x14ac:dyDescent="0.3">
      <c r="A113" s="8" t="s">
        <v>139</v>
      </c>
      <c r="B113" s="25">
        <f t="shared" ref="B113:B121" si="72">B112+C112</f>
        <v>37620.911291719094</v>
      </c>
      <c r="C113" s="10">
        <f t="shared" si="68"/>
        <v>3762.0911291719094</v>
      </c>
      <c r="D113" s="8" t="s">
        <v>139</v>
      </c>
      <c r="E113" s="25">
        <f t="shared" si="61"/>
        <v>2533293.8366136649</v>
      </c>
      <c r="F113" s="10">
        <f t="shared" si="62"/>
        <v>253329.3836613665</v>
      </c>
      <c r="G113" s="8" t="s">
        <v>139</v>
      </c>
      <c r="H113" s="25">
        <f t="shared" si="63"/>
        <v>77770524.074953616</v>
      </c>
      <c r="I113" s="10">
        <f t="shared" si="64"/>
        <v>7777052.4074953618</v>
      </c>
      <c r="J113" s="8" t="s">
        <v>139</v>
      </c>
      <c r="K113" s="25">
        <f t="shared" si="65"/>
        <v>6618805448.6828794</v>
      </c>
      <c r="L113" s="10">
        <f t="shared" si="66"/>
        <v>661880544.86828804</v>
      </c>
      <c r="M113" s="8" t="s">
        <v>139</v>
      </c>
      <c r="N113" s="25">
        <f t="shared" si="67"/>
        <v>15606797024.900015</v>
      </c>
      <c r="O113" s="10">
        <v>0</v>
      </c>
      <c r="P113" s="8" t="s">
        <v>139</v>
      </c>
      <c r="Q113" s="9"/>
      <c r="R113" s="10"/>
    </row>
    <row r="114" spans="1:21" x14ac:dyDescent="0.3">
      <c r="A114" s="8" t="s">
        <v>131</v>
      </c>
      <c r="B114" s="25">
        <f t="shared" si="72"/>
        <v>41383.002420891004</v>
      </c>
      <c r="C114" s="10">
        <f t="shared" si="68"/>
        <v>4138.3002420891007</v>
      </c>
      <c r="D114" s="8" t="s">
        <v>131</v>
      </c>
      <c r="E114" s="25">
        <f t="shared" si="61"/>
        <v>2786623.2202750314</v>
      </c>
      <c r="F114" s="10">
        <f t="shared" si="62"/>
        <v>278662.32202750316</v>
      </c>
      <c r="G114" s="8" t="s">
        <v>131</v>
      </c>
      <c r="H114" s="25">
        <f t="shared" si="63"/>
        <v>85547576.48244898</v>
      </c>
      <c r="I114" s="10">
        <f t="shared" si="64"/>
        <v>8554757.6482448988</v>
      </c>
      <c r="J114" s="8" t="s">
        <v>131</v>
      </c>
      <c r="K114" s="25">
        <f t="shared" si="65"/>
        <v>7280685993.5511675</v>
      </c>
      <c r="L114" s="10">
        <f t="shared" si="66"/>
        <v>728068599.35511684</v>
      </c>
      <c r="M114" s="8" t="s">
        <v>131</v>
      </c>
      <c r="N114" s="25">
        <f t="shared" si="67"/>
        <v>15606797024.900015</v>
      </c>
      <c r="O114" s="10">
        <v>0</v>
      </c>
      <c r="P114" s="8" t="s">
        <v>131</v>
      </c>
      <c r="Q114" s="9"/>
      <c r="R114" s="10"/>
    </row>
    <row r="115" spans="1:21" x14ac:dyDescent="0.3">
      <c r="A115" s="8" t="s">
        <v>132</v>
      </c>
      <c r="B115" s="25">
        <f t="shared" si="72"/>
        <v>45521.302662980102</v>
      </c>
      <c r="C115" s="10">
        <f t="shared" si="68"/>
        <v>4552.1302662980106</v>
      </c>
      <c r="D115" s="8" t="s">
        <v>132</v>
      </c>
      <c r="E115" s="25">
        <f t="shared" si="61"/>
        <v>3065285.5423025344</v>
      </c>
      <c r="F115" s="10">
        <f t="shared" si="62"/>
        <v>306528.55423025344</v>
      </c>
      <c r="G115" s="8" t="s">
        <v>132</v>
      </c>
      <c r="H115" s="25">
        <f t="shared" si="63"/>
        <v>94102334.130693883</v>
      </c>
      <c r="I115" s="10">
        <f t="shared" si="64"/>
        <v>9410233.4130693879</v>
      </c>
      <c r="J115" s="8" t="s">
        <v>132</v>
      </c>
      <c r="K115" s="25">
        <f t="shared" si="65"/>
        <v>8008754592.9062843</v>
      </c>
      <c r="L115" s="10">
        <f t="shared" si="66"/>
        <v>800875459.29062843</v>
      </c>
      <c r="M115" s="8" t="s">
        <v>132</v>
      </c>
      <c r="N115" s="25">
        <f t="shared" si="67"/>
        <v>15606797024.900015</v>
      </c>
      <c r="O115" s="10">
        <v>0</v>
      </c>
      <c r="P115" s="8" t="s">
        <v>132</v>
      </c>
      <c r="Q115" s="9"/>
      <c r="R115" s="10"/>
    </row>
    <row r="116" spans="1:21" x14ac:dyDescent="0.3">
      <c r="A116" s="8" t="s">
        <v>133</v>
      </c>
      <c r="B116" s="25">
        <f t="shared" si="72"/>
        <v>50073.432929278111</v>
      </c>
      <c r="C116" s="10">
        <f t="shared" si="68"/>
        <v>5007.3432929278115</v>
      </c>
      <c r="D116" s="8" t="s">
        <v>133</v>
      </c>
      <c r="E116" s="25">
        <f t="shared" si="61"/>
        <v>3371814.0965327881</v>
      </c>
      <c r="F116" s="10">
        <f t="shared" si="62"/>
        <v>337181.40965327882</v>
      </c>
      <c r="G116" s="8" t="s">
        <v>133</v>
      </c>
      <c r="H116" s="25">
        <f t="shared" si="63"/>
        <v>103512567.54376327</v>
      </c>
      <c r="I116" s="10">
        <f t="shared" si="64"/>
        <v>10351256.754376328</v>
      </c>
      <c r="J116" s="8" t="s">
        <v>133</v>
      </c>
      <c r="K116" s="25">
        <f t="shared" si="65"/>
        <v>8809630052.1969128</v>
      </c>
      <c r="L116" s="10">
        <f t="shared" si="66"/>
        <v>880963005.21969128</v>
      </c>
      <c r="M116" s="8" t="s">
        <v>133</v>
      </c>
      <c r="N116" s="25">
        <f t="shared" si="67"/>
        <v>15606797024.900015</v>
      </c>
      <c r="O116" s="10">
        <v>0</v>
      </c>
      <c r="P116" s="8" t="s">
        <v>133</v>
      </c>
      <c r="Q116" s="9"/>
      <c r="R116" s="10"/>
    </row>
    <row r="117" spans="1:21" x14ac:dyDescent="0.3">
      <c r="A117" s="8" t="s">
        <v>134</v>
      </c>
      <c r="B117" s="25">
        <f t="shared" si="72"/>
        <v>55080.776222205925</v>
      </c>
      <c r="C117" s="10">
        <f t="shared" si="68"/>
        <v>5508.0776222205932</v>
      </c>
      <c r="D117" s="8" t="s">
        <v>134</v>
      </c>
      <c r="E117" s="25">
        <f t="shared" si="61"/>
        <v>3708995.5061860671</v>
      </c>
      <c r="F117" s="10">
        <f t="shared" si="62"/>
        <v>370899.55061860674</v>
      </c>
      <c r="G117" s="8" t="s">
        <v>134</v>
      </c>
      <c r="H117" s="25">
        <f t="shared" si="63"/>
        <v>113863824.29813959</v>
      </c>
      <c r="I117" s="10">
        <f t="shared" si="64"/>
        <v>11386382.429813959</v>
      </c>
      <c r="J117" s="8" t="s">
        <v>134</v>
      </c>
      <c r="K117" s="25">
        <f t="shared" si="65"/>
        <v>9690593057.4166031</v>
      </c>
      <c r="L117" s="10">
        <f t="shared" si="66"/>
        <v>969059305.74166036</v>
      </c>
      <c r="M117" s="8" t="s">
        <v>134</v>
      </c>
      <c r="N117" s="25">
        <f t="shared" si="67"/>
        <v>15606797024.900015</v>
      </c>
      <c r="O117" s="10">
        <v>0</v>
      </c>
      <c r="P117" s="8" t="s">
        <v>134</v>
      </c>
      <c r="Q117" s="9"/>
      <c r="R117" s="10"/>
    </row>
    <row r="118" spans="1:21" x14ac:dyDescent="0.3">
      <c r="A118" s="8" t="s">
        <v>135</v>
      </c>
      <c r="B118" s="25">
        <f t="shared" si="72"/>
        <v>60588.853844426514</v>
      </c>
      <c r="C118" s="10">
        <f t="shared" si="68"/>
        <v>6058.8853844426521</v>
      </c>
      <c r="D118" s="8" t="s">
        <v>135</v>
      </c>
      <c r="E118" s="25">
        <f t="shared" si="61"/>
        <v>4079895.0568046737</v>
      </c>
      <c r="F118" s="10">
        <f t="shared" si="62"/>
        <v>407989.50568046741</v>
      </c>
      <c r="G118" s="8" t="s">
        <v>135</v>
      </c>
      <c r="H118" s="25">
        <f t="shared" si="63"/>
        <v>125250206.72795355</v>
      </c>
      <c r="I118" s="10">
        <f t="shared" si="64"/>
        <v>12525020.672795355</v>
      </c>
      <c r="J118" s="8" t="s">
        <v>135</v>
      </c>
      <c r="K118" s="25">
        <f t="shared" si="65"/>
        <v>10659652363.158264</v>
      </c>
      <c r="L118" s="10">
        <f t="shared" si="66"/>
        <v>1065965236.3158264</v>
      </c>
      <c r="M118" s="8" t="s">
        <v>135</v>
      </c>
      <c r="N118" s="25">
        <f t="shared" si="67"/>
        <v>15606797024.900015</v>
      </c>
      <c r="O118" s="10">
        <v>0</v>
      </c>
      <c r="P118" s="8" t="s">
        <v>135</v>
      </c>
      <c r="Q118" s="9"/>
      <c r="R118" s="10"/>
    </row>
    <row r="119" spans="1:21" x14ac:dyDescent="0.3">
      <c r="A119" s="8" t="s">
        <v>136</v>
      </c>
      <c r="B119" s="25">
        <f t="shared" si="72"/>
        <v>66647.739228869163</v>
      </c>
      <c r="C119" s="10">
        <f t="shared" si="68"/>
        <v>6664.7739228869168</v>
      </c>
      <c r="D119" s="8" t="s">
        <v>136</v>
      </c>
      <c r="E119" s="25">
        <f t="shared" si="61"/>
        <v>4487884.5624851407</v>
      </c>
      <c r="F119" s="10">
        <f t="shared" si="62"/>
        <v>448788.45624851412</v>
      </c>
      <c r="G119" s="8" t="s">
        <v>136</v>
      </c>
      <c r="H119" s="25">
        <f t="shared" si="63"/>
        <v>137775227.40074891</v>
      </c>
      <c r="I119" s="10">
        <f t="shared" si="64"/>
        <v>13777522.740074892</v>
      </c>
      <c r="J119" s="8" t="s">
        <v>136</v>
      </c>
      <c r="K119" s="25">
        <f t="shared" si="65"/>
        <v>11725617599.474091</v>
      </c>
      <c r="L119" s="10">
        <f t="shared" si="66"/>
        <v>1172561759.9474092</v>
      </c>
      <c r="M119" s="8" t="s">
        <v>136</v>
      </c>
      <c r="N119" s="25">
        <f t="shared" si="67"/>
        <v>15606797024.900015</v>
      </c>
      <c r="O119" s="10">
        <v>0</v>
      </c>
      <c r="P119" s="8" t="s">
        <v>136</v>
      </c>
      <c r="Q119" s="9"/>
      <c r="R119" s="10"/>
    </row>
    <row r="120" spans="1:21" x14ac:dyDescent="0.3">
      <c r="A120" s="8" t="s">
        <v>137</v>
      </c>
      <c r="B120" s="25">
        <f t="shared" si="72"/>
        <v>73312.51315175608</v>
      </c>
      <c r="C120" s="10">
        <f t="shared" si="68"/>
        <v>7331.2513151756084</v>
      </c>
      <c r="D120" s="8" t="s">
        <v>137</v>
      </c>
      <c r="E120" s="25">
        <f t="shared" si="61"/>
        <v>4936673.0187336551</v>
      </c>
      <c r="F120" s="10">
        <f t="shared" si="62"/>
        <v>493667.30187336553</v>
      </c>
      <c r="G120" s="8" t="s">
        <v>137</v>
      </c>
      <c r="H120" s="25">
        <f t="shared" si="63"/>
        <v>151552750.14082381</v>
      </c>
      <c r="I120" s="10">
        <f t="shared" si="64"/>
        <v>15155275.014082382</v>
      </c>
      <c r="J120" s="8" t="s">
        <v>137</v>
      </c>
      <c r="K120" s="25">
        <f t="shared" si="65"/>
        <v>12898179359.421499</v>
      </c>
      <c r="L120" s="10">
        <f t="shared" si="66"/>
        <v>1289817935.9421501</v>
      </c>
      <c r="M120" s="8" t="s">
        <v>137</v>
      </c>
      <c r="N120" s="25">
        <f t="shared" si="67"/>
        <v>15606797024.900015</v>
      </c>
      <c r="O120" s="10">
        <v>0</v>
      </c>
      <c r="P120" s="8" t="s">
        <v>137</v>
      </c>
      <c r="Q120" s="9"/>
      <c r="R120" s="10"/>
    </row>
    <row r="121" spans="1:21" ht="15" thickBot="1" x14ac:dyDescent="0.35">
      <c r="A121" s="8" t="s">
        <v>138</v>
      </c>
      <c r="B121" s="25">
        <f t="shared" si="72"/>
        <v>80643.764466931694</v>
      </c>
      <c r="C121" s="10">
        <f t="shared" si="68"/>
        <v>8064.3764466931698</v>
      </c>
      <c r="D121" s="8" t="s">
        <v>138</v>
      </c>
      <c r="E121" s="25">
        <f t="shared" si="61"/>
        <v>5430340.3206070205</v>
      </c>
      <c r="F121" s="10">
        <f t="shared" si="62"/>
        <v>543034.0320607021</v>
      </c>
      <c r="G121" s="8" t="s">
        <v>138</v>
      </c>
      <c r="H121" s="25">
        <f t="shared" si="63"/>
        <v>166708025.15490618</v>
      </c>
      <c r="I121" s="10">
        <f t="shared" si="64"/>
        <v>16670802.515490619</v>
      </c>
      <c r="J121" s="8" t="s">
        <v>138</v>
      </c>
      <c r="K121" s="25">
        <f t="shared" si="65"/>
        <v>14187997295.363649</v>
      </c>
      <c r="L121" s="10">
        <f t="shared" si="66"/>
        <v>1418799729.536365</v>
      </c>
      <c r="M121" s="8" t="s">
        <v>138</v>
      </c>
      <c r="N121" s="25">
        <f t="shared" si="67"/>
        <v>15606797024.900015</v>
      </c>
      <c r="O121" s="10">
        <v>0</v>
      </c>
      <c r="P121" s="8" t="s">
        <v>138</v>
      </c>
      <c r="Q121" s="31"/>
      <c r="R121" s="10"/>
    </row>
    <row r="122" spans="1:21" ht="15" thickBot="1" x14ac:dyDescent="0.35">
      <c r="A122" s="14" t="s">
        <v>15</v>
      </c>
      <c r="B122" s="15">
        <f t="shared" ref="B122" si="73">B121+C121</f>
        <v>88708.140913624869</v>
      </c>
      <c r="C122" s="16"/>
      <c r="D122" s="14" t="s">
        <v>15</v>
      </c>
      <c r="E122" s="15">
        <f t="shared" ref="E122" si="74">E121+F121</f>
        <v>5973374.3526677229</v>
      </c>
      <c r="F122" s="16"/>
      <c r="G122" s="14" t="s">
        <v>15</v>
      </c>
      <c r="H122" s="15">
        <f t="shared" ref="H122" si="75">H121+I121</f>
        <v>183378827.6703968</v>
      </c>
      <c r="I122" s="16"/>
      <c r="J122" s="14" t="s">
        <v>15</v>
      </c>
      <c r="K122" s="15">
        <f t="shared" ref="K122" si="76">K121+L121</f>
        <v>15606797024.900015</v>
      </c>
      <c r="L122" s="16"/>
      <c r="M122" s="14" t="s">
        <v>15</v>
      </c>
      <c r="N122" s="15">
        <f t="shared" ref="N122" si="77">N121+O121</f>
        <v>15606797024.900015</v>
      </c>
      <c r="O122" s="16"/>
      <c r="P122" s="14" t="s">
        <v>15</v>
      </c>
      <c r="Q122" s="42">
        <f>N122</f>
        <v>15606797024.900015</v>
      </c>
      <c r="R122" s="16"/>
    </row>
    <row r="123" spans="1:21" ht="15" thickBot="1" x14ac:dyDescent="0.35">
      <c r="A123" s="14" t="s">
        <v>75</v>
      </c>
      <c r="B123" s="39"/>
      <c r="C123" s="36">
        <f>SUM(C72:C122)</f>
        <v>86708.140913624869</v>
      </c>
      <c r="D123" s="14" t="s">
        <v>75</v>
      </c>
      <c r="E123" s="39"/>
      <c r="F123" s="36">
        <f>SUM(F72:F122)</f>
        <v>6484666.2117540985</v>
      </c>
      <c r="G123" s="14" t="s">
        <v>75</v>
      </c>
      <c r="H123" s="39"/>
      <c r="I123" s="36">
        <f>SUM(I72:I122)</f>
        <v>327405453.31772906</v>
      </c>
      <c r="J123" s="14" t="s">
        <v>75</v>
      </c>
      <c r="K123" s="39"/>
      <c r="L123" s="36">
        <f>SUM(L72:L122)</f>
        <v>16223418197.22962</v>
      </c>
      <c r="M123" s="49" t="s">
        <v>214</v>
      </c>
      <c r="N123" s="3"/>
      <c r="O123" s="43"/>
      <c r="P123" s="50" t="s">
        <v>215</v>
      </c>
      <c r="Q123" s="3"/>
      <c r="R123" s="43"/>
    </row>
    <row r="124" spans="1:21" x14ac:dyDescent="0.3">
      <c r="A124" s="25" t="s">
        <v>226</v>
      </c>
      <c r="D124" s="25" t="s">
        <v>212</v>
      </c>
      <c r="G124" s="25" t="s">
        <v>213</v>
      </c>
      <c r="J124" s="51" t="s">
        <v>221</v>
      </c>
    </row>
    <row r="125" spans="1:21" x14ac:dyDescent="0.3">
      <c r="A125" s="25" t="s">
        <v>62</v>
      </c>
      <c r="D125" s="25" t="s">
        <v>59</v>
      </c>
      <c r="G125" s="25" t="s">
        <v>170</v>
      </c>
      <c r="J125" s="25" t="s">
        <v>64</v>
      </c>
    </row>
    <row r="126" spans="1:21" x14ac:dyDescent="0.3">
      <c r="A126" s="25" t="s">
        <v>63</v>
      </c>
      <c r="D126" s="25" t="s">
        <v>209</v>
      </c>
      <c r="G126" s="25" t="s">
        <v>58</v>
      </c>
      <c r="J126" s="25" t="s">
        <v>222</v>
      </c>
      <c r="M126" s="1"/>
      <c r="N126" s="1"/>
      <c r="O126" s="1"/>
      <c r="P126" s="1"/>
      <c r="Q126" s="1"/>
      <c r="R126" s="1"/>
      <c r="U126" s="1"/>
    </row>
    <row r="127" spans="1:21" x14ac:dyDescent="0.3">
      <c r="A127" s="25" t="s">
        <v>202</v>
      </c>
      <c r="D127" s="25" t="s">
        <v>210</v>
      </c>
      <c r="M127" s="25"/>
    </row>
    <row r="128" spans="1:21" x14ac:dyDescent="0.3">
      <c r="G128" s="25"/>
      <c r="J128" s="25"/>
      <c r="S128" s="1"/>
      <c r="T128" s="1"/>
    </row>
    <row r="132" spans="1:13" ht="15" thickBot="1" x14ac:dyDescent="0.35">
      <c r="A132" t="s">
        <v>178</v>
      </c>
    </row>
    <row r="133" spans="1:13" x14ac:dyDescent="0.3">
      <c r="A133" s="2">
        <v>2021</v>
      </c>
      <c r="B133" s="37" t="s">
        <v>67</v>
      </c>
      <c r="C133" s="4"/>
      <c r="D133" s="2">
        <v>2022</v>
      </c>
      <c r="E133" s="37" t="s">
        <v>68</v>
      </c>
      <c r="F133" s="4"/>
      <c r="G133" s="2">
        <v>2023</v>
      </c>
      <c r="H133" s="37" t="s">
        <v>69</v>
      </c>
      <c r="I133" s="4"/>
      <c r="L133" s="2">
        <v>2027</v>
      </c>
      <c r="M133" s="48" t="s">
        <v>73</v>
      </c>
    </row>
    <row r="134" spans="1:13" x14ac:dyDescent="0.3">
      <c r="A134" s="5" t="s">
        <v>14</v>
      </c>
      <c r="B134" s="6" t="s">
        <v>0</v>
      </c>
      <c r="C134" s="7" t="s">
        <v>1</v>
      </c>
      <c r="D134" s="5" t="s">
        <v>14</v>
      </c>
      <c r="E134" s="6" t="s">
        <v>0</v>
      </c>
      <c r="F134" s="7" t="s">
        <v>1</v>
      </c>
      <c r="G134" s="5" t="s">
        <v>14</v>
      </c>
      <c r="H134" s="6" t="s">
        <v>0</v>
      </c>
      <c r="I134" s="7" t="s">
        <v>1</v>
      </c>
      <c r="L134" s="5" t="s">
        <v>14</v>
      </c>
      <c r="M134" s="7" t="s">
        <v>0</v>
      </c>
    </row>
    <row r="135" spans="1:13" x14ac:dyDescent="0.3">
      <c r="A135" s="8" t="s">
        <v>2</v>
      </c>
      <c r="B135" s="34">
        <v>2000</v>
      </c>
      <c r="C135" s="54">
        <v>-200</v>
      </c>
      <c r="D135" s="8" t="s">
        <v>2</v>
      </c>
      <c r="E135" s="9">
        <f>B147</f>
        <v>807040</v>
      </c>
      <c r="F135" s="10">
        <f>E135*1</f>
        <v>807040</v>
      </c>
      <c r="G135" s="8" t="s">
        <v>2</v>
      </c>
      <c r="H135" s="25">
        <f>E146+F146</f>
        <v>2105635840</v>
      </c>
      <c r="I135" s="10">
        <f>H135*1</f>
        <v>2105635840</v>
      </c>
      <c r="L135" s="8" t="s">
        <v>2</v>
      </c>
      <c r="M135" s="47"/>
    </row>
    <row r="136" spans="1:13" x14ac:dyDescent="0.3">
      <c r="A136" s="8" t="s">
        <v>3</v>
      </c>
      <c r="B136" s="34">
        <f t="shared" ref="B136:B145" si="78">B135+C135</f>
        <v>1800</v>
      </c>
      <c r="C136" s="57">
        <v>160</v>
      </c>
      <c r="D136" s="8" t="s">
        <v>3</v>
      </c>
      <c r="E136" s="9">
        <f t="shared" ref="E136:E143" si="79">E135+F135</f>
        <v>1614080</v>
      </c>
      <c r="F136" s="10">
        <f t="shared" ref="F136:F146" si="80">E136*1</f>
        <v>1614080</v>
      </c>
      <c r="G136" s="8" t="s">
        <v>3</v>
      </c>
      <c r="H136" s="9">
        <f t="shared" ref="H136:H139" si="81">H135+I135</f>
        <v>4211271680</v>
      </c>
      <c r="I136" s="10">
        <f>H136*1</f>
        <v>4211271680</v>
      </c>
      <c r="L136" s="8" t="s">
        <v>3</v>
      </c>
      <c r="M136" s="10"/>
    </row>
    <row r="137" spans="1:13" x14ac:dyDescent="0.3">
      <c r="A137" s="8" t="s">
        <v>4</v>
      </c>
      <c r="B137" s="34">
        <f t="shared" si="78"/>
        <v>1960</v>
      </c>
      <c r="C137" s="10">
        <f t="shared" ref="C137:C146" si="82">B137*1</f>
        <v>1960</v>
      </c>
      <c r="D137" s="8" t="s">
        <v>4</v>
      </c>
      <c r="E137" s="9">
        <f t="shared" si="79"/>
        <v>3228160</v>
      </c>
      <c r="F137" s="10">
        <f t="shared" si="80"/>
        <v>3228160</v>
      </c>
      <c r="G137" s="8" t="s">
        <v>4</v>
      </c>
      <c r="H137" s="9">
        <f t="shared" si="81"/>
        <v>8422543360</v>
      </c>
      <c r="I137" s="10">
        <f>H137*1</f>
        <v>8422543360</v>
      </c>
      <c r="L137" s="8" t="s">
        <v>4</v>
      </c>
      <c r="M137" s="10"/>
    </row>
    <row r="138" spans="1:13" x14ac:dyDescent="0.3">
      <c r="A138" s="8" t="s">
        <v>5</v>
      </c>
      <c r="B138" s="9">
        <f t="shared" si="78"/>
        <v>3920</v>
      </c>
      <c r="C138" s="10">
        <f t="shared" si="82"/>
        <v>3920</v>
      </c>
      <c r="D138" s="8" t="s">
        <v>5</v>
      </c>
      <c r="E138" s="9">
        <f t="shared" si="79"/>
        <v>6456320</v>
      </c>
      <c r="F138" s="10">
        <f t="shared" si="80"/>
        <v>6456320</v>
      </c>
      <c r="G138" s="8" t="s">
        <v>5</v>
      </c>
      <c r="H138" s="9">
        <f t="shared" si="81"/>
        <v>16845086720</v>
      </c>
      <c r="I138" s="10">
        <f t="shared" ref="I138:I139" si="83">H138*1</f>
        <v>16845086720</v>
      </c>
      <c r="L138" s="8" t="s">
        <v>5</v>
      </c>
      <c r="M138" s="10"/>
    </row>
    <row r="139" spans="1:13" x14ac:dyDescent="0.3">
      <c r="A139" s="8" t="s">
        <v>6</v>
      </c>
      <c r="B139" s="9">
        <f t="shared" si="78"/>
        <v>7840</v>
      </c>
      <c r="C139" s="10">
        <f t="shared" si="82"/>
        <v>7840</v>
      </c>
      <c r="D139" s="8" t="s">
        <v>6</v>
      </c>
      <c r="E139" s="9">
        <f t="shared" si="79"/>
        <v>12912640</v>
      </c>
      <c r="F139" s="10">
        <f t="shared" si="80"/>
        <v>12912640</v>
      </c>
      <c r="G139" s="8" t="s">
        <v>6</v>
      </c>
      <c r="H139" s="9">
        <f t="shared" si="81"/>
        <v>33690173440</v>
      </c>
      <c r="I139" s="10">
        <f t="shared" si="83"/>
        <v>33690173440</v>
      </c>
      <c r="L139" s="8" t="s">
        <v>6</v>
      </c>
      <c r="M139" s="10"/>
    </row>
    <row r="140" spans="1:13" x14ac:dyDescent="0.3">
      <c r="A140" s="8" t="s">
        <v>7</v>
      </c>
      <c r="B140" s="9">
        <f t="shared" si="78"/>
        <v>15680</v>
      </c>
      <c r="C140" s="10">
        <f t="shared" si="82"/>
        <v>15680</v>
      </c>
      <c r="D140" s="8" t="s">
        <v>7</v>
      </c>
      <c r="E140" s="25">
        <f>E139+F139</f>
        <v>25825280</v>
      </c>
      <c r="F140" s="10">
        <f t="shared" si="80"/>
        <v>25825280</v>
      </c>
      <c r="G140" s="8" t="s">
        <v>7</v>
      </c>
      <c r="H140" s="25">
        <f>H139+I139</f>
        <v>67380346880</v>
      </c>
      <c r="I140" s="10">
        <v>0</v>
      </c>
      <c r="L140" s="8" t="s">
        <v>7</v>
      </c>
      <c r="M140" s="47"/>
    </row>
    <row r="141" spans="1:13" x14ac:dyDescent="0.3">
      <c r="A141" s="8" t="s">
        <v>8</v>
      </c>
      <c r="B141" s="9">
        <f t="shared" si="78"/>
        <v>31360</v>
      </c>
      <c r="C141" s="10">
        <f t="shared" si="82"/>
        <v>31360</v>
      </c>
      <c r="D141" s="8" t="s">
        <v>8</v>
      </c>
      <c r="E141" s="25">
        <f>E140+F140</f>
        <v>51650560</v>
      </c>
      <c r="F141" s="10">
        <f t="shared" si="80"/>
        <v>51650560</v>
      </c>
      <c r="G141" s="8" t="s">
        <v>8</v>
      </c>
      <c r="H141" s="9">
        <f t="shared" ref="H141:H147" si="84">H140+I140</f>
        <v>67380346880</v>
      </c>
      <c r="I141" s="10">
        <v>0</v>
      </c>
      <c r="L141" s="56" t="s">
        <v>8</v>
      </c>
      <c r="M141" s="10"/>
    </row>
    <row r="142" spans="1:13" x14ac:dyDescent="0.3">
      <c r="A142" s="8" t="s">
        <v>9</v>
      </c>
      <c r="B142" s="9">
        <f t="shared" si="78"/>
        <v>62720</v>
      </c>
      <c r="C142" s="10">
        <f t="shared" si="82"/>
        <v>62720</v>
      </c>
      <c r="D142" s="8" t="s">
        <v>9</v>
      </c>
      <c r="E142" s="9">
        <f t="shared" si="79"/>
        <v>103301120</v>
      </c>
      <c r="F142" s="10">
        <f t="shared" si="80"/>
        <v>103301120</v>
      </c>
      <c r="G142" s="8" t="s">
        <v>9</v>
      </c>
      <c r="H142" s="9">
        <f t="shared" si="84"/>
        <v>67380346880</v>
      </c>
      <c r="I142" s="10">
        <v>0</v>
      </c>
      <c r="L142" s="8" t="s">
        <v>160</v>
      </c>
      <c r="M142" s="10">
        <v>500000000</v>
      </c>
    </row>
    <row r="143" spans="1:13" x14ac:dyDescent="0.3">
      <c r="A143" s="8" t="s">
        <v>10</v>
      </c>
      <c r="B143" s="9">
        <f t="shared" si="78"/>
        <v>125440</v>
      </c>
      <c r="C143" s="10">
        <f t="shared" si="82"/>
        <v>125440</v>
      </c>
      <c r="D143" s="8" t="s">
        <v>10</v>
      </c>
      <c r="E143" s="9">
        <f t="shared" si="79"/>
        <v>206602240</v>
      </c>
      <c r="F143" s="10">
        <f t="shared" si="80"/>
        <v>206602240</v>
      </c>
      <c r="G143" s="8" t="s">
        <v>10</v>
      </c>
      <c r="H143" s="28">
        <f>H142+I142-800000000</f>
        <v>66580346880</v>
      </c>
      <c r="I143" s="10">
        <v>0</v>
      </c>
      <c r="J143" t="s">
        <v>177</v>
      </c>
      <c r="L143" s="8" t="s">
        <v>161</v>
      </c>
      <c r="M143" s="10">
        <v>8000000000</v>
      </c>
    </row>
    <row r="144" spans="1:13" x14ac:dyDescent="0.3">
      <c r="A144" s="8" t="s">
        <v>11</v>
      </c>
      <c r="B144" s="9">
        <f t="shared" si="78"/>
        <v>250880</v>
      </c>
      <c r="C144" s="10">
        <f t="shared" si="82"/>
        <v>250880</v>
      </c>
      <c r="D144" s="8" t="s">
        <v>11</v>
      </c>
      <c r="E144" s="28">
        <f>E143+F143-150000000</f>
        <v>263204480</v>
      </c>
      <c r="F144" s="10">
        <f t="shared" si="80"/>
        <v>263204480</v>
      </c>
      <c r="G144" s="8" t="s">
        <v>11</v>
      </c>
      <c r="H144" s="9">
        <f t="shared" si="84"/>
        <v>66580346880</v>
      </c>
      <c r="I144" s="10">
        <v>0</v>
      </c>
      <c r="J144" t="s">
        <v>157</v>
      </c>
      <c r="L144" s="8" t="s">
        <v>162</v>
      </c>
      <c r="M144" s="10">
        <v>8000000000</v>
      </c>
    </row>
    <row r="145" spans="1:14" x14ac:dyDescent="0.3">
      <c r="A145" s="8" t="s">
        <v>12</v>
      </c>
      <c r="B145" s="9">
        <f t="shared" si="78"/>
        <v>501760</v>
      </c>
      <c r="C145" s="10">
        <f t="shared" si="82"/>
        <v>501760</v>
      </c>
      <c r="D145" s="8" t="s">
        <v>12</v>
      </c>
      <c r="E145" s="9">
        <f t="shared" ref="E145:E147" si="85">E144+F144</f>
        <v>526408960</v>
      </c>
      <c r="F145" s="10">
        <f t="shared" si="80"/>
        <v>526408960</v>
      </c>
      <c r="G145" s="8" t="s">
        <v>12</v>
      </c>
      <c r="H145" s="9">
        <f t="shared" si="84"/>
        <v>66580346880</v>
      </c>
      <c r="I145" s="10">
        <v>0</v>
      </c>
      <c r="L145" s="8" t="s">
        <v>86</v>
      </c>
      <c r="M145" s="10">
        <v>4000000000</v>
      </c>
    </row>
    <row r="146" spans="1:14" ht="15" thickBot="1" x14ac:dyDescent="0.35">
      <c r="A146" s="11" t="s">
        <v>13</v>
      </c>
      <c r="B146" s="55">
        <f>B145+C145-600000</f>
        <v>403520</v>
      </c>
      <c r="C146" s="10">
        <f t="shared" si="82"/>
        <v>403520</v>
      </c>
      <c r="D146" s="11" t="s">
        <v>13</v>
      </c>
      <c r="E146" s="12">
        <f t="shared" si="85"/>
        <v>1052817920</v>
      </c>
      <c r="F146" s="10">
        <f t="shared" si="80"/>
        <v>1052817920</v>
      </c>
      <c r="G146" s="11" t="s">
        <v>13</v>
      </c>
      <c r="H146" s="12">
        <f t="shared" si="84"/>
        <v>66580346880</v>
      </c>
      <c r="I146" s="10">
        <v>0</v>
      </c>
      <c r="L146" s="11" t="s">
        <v>163</v>
      </c>
      <c r="M146" s="13">
        <v>46000000000</v>
      </c>
    </row>
    <row r="147" spans="1:14" ht="15" thickBot="1" x14ac:dyDescent="0.35">
      <c r="A147" s="14" t="s">
        <v>15</v>
      </c>
      <c r="B147" s="42">
        <f>B146+C146</f>
        <v>807040</v>
      </c>
      <c r="C147" s="16"/>
      <c r="D147" s="14" t="s">
        <v>15</v>
      </c>
      <c r="E147" s="15">
        <f t="shared" si="85"/>
        <v>2105635840</v>
      </c>
      <c r="F147" s="16"/>
      <c r="G147" s="14" t="s">
        <v>15</v>
      </c>
      <c r="H147" s="15">
        <f t="shared" si="84"/>
        <v>66580346880</v>
      </c>
      <c r="I147" s="16"/>
      <c r="L147" s="14" t="s">
        <v>15</v>
      </c>
      <c r="M147" s="36">
        <f>SUM(M134:M146)</f>
        <v>66500000000</v>
      </c>
      <c r="N147" s="6"/>
    </row>
    <row r="148" spans="1:14" ht="15" thickBot="1" x14ac:dyDescent="0.35">
      <c r="A148" s="14" t="s">
        <v>75</v>
      </c>
      <c r="B148" s="39"/>
      <c r="C148" s="36">
        <f>SUM(C135:C147)</f>
        <v>1405040</v>
      </c>
      <c r="D148" s="25" t="s">
        <v>61</v>
      </c>
      <c r="E148" s="3"/>
      <c r="F148" s="43"/>
      <c r="G148" s="25" t="s">
        <v>159</v>
      </c>
      <c r="H148" s="3"/>
      <c r="I148" s="43"/>
      <c r="L148" t="s">
        <v>193</v>
      </c>
      <c r="M148" s="3"/>
      <c r="N148" s="9"/>
    </row>
    <row r="149" spans="1:14" x14ac:dyDescent="0.3">
      <c r="A149" s="25" t="s">
        <v>63</v>
      </c>
      <c r="D149" s="25" t="s">
        <v>170</v>
      </c>
      <c r="G149" s="25" t="s">
        <v>60</v>
      </c>
      <c r="L149" t="s">
        <v>156</v>
      </c>
    </row>
    <row r="150" spans="1:14" x14ac:dyDescent="0.3">
      <c r="A150" s="25" t="s">
        <v>209</v>
      </c>
      <c r="D150" s="25" t="s">
        <v>192</v>
      </c>
      <c r="G150" s="25" t="s">
        <v>65</v>
      </c>
      <c r="L150" s="25" t="s">
        <v>197</v>
      </c>
    </row>
    <row r="151" spans="1:14" x14ac:dyDescent="0.3">
      <c r="A151" s="25" t="s">
        <v>164</v>
      </c>
      <c r="D151" s="25" t="s">
        <v>194</v>
      </c>
      <c r="G151" s="25"/>
      <c r="L151" s="25" t="s">
        <v>191</v>
      </c>
    </row>
    <row r="152" spans="1:14" x14ac:dyDescent="0.3">
      <c r="L152" t="s">
        <v>201</v>
      </c>
    </row>
    <row r="154" spans="1:14" ht="15" thickBot="1" x14ac:dyDescent="0.35">
      <c r="A154" t="s">
        <v>228</v>
      </c>
    </row>
    <row r="155" spans="1:14" x14ac:dyDescent="0.3">
      <c r="A155" s="2">
        <v>2021</v>
      </c>
      <c r="B155" s="37" t="s">
        <v>67</v>
      </c>
      <c r="C155" s="4"/>
      <c r="D155" s="2">
        <v>2022</v>
      </c>
      <c r="E155" s="37" t="s">
        <v>68</v>
      </c>
      <c r="F155" s="4"/>
      <c r="G155" s="2">
        <v>2023</v>
      </c>
      <c r="H155" s="37" t="s">
        <v>69</v>
      </c>
      <c r="I155" s="4"/>
      <c r="L155" s="2">
        <v>2027</v>
      </c>
      <c r="M155" s="48" t="s">
        <v>73</v>
      </c>
    </row>
    <row r="156" spans="1:14" x14ac:dyDescent="0.3">
      <c r="A156" s="5" t="s">
        <v>14</v>
      </c>
      <c r="B156" s="6" t="s">
        <v>0</v>
      </c>
      <c r="C156" s="7" t="s">
        <v>1</v>
      </c>
      <c r="D156" s="5" t="s">
        <v>14</v>
      </c>
      <c r="E156" s="6" t="s">
        <v>0</v>
      </c>
      <c r="F156" s="7" t="s">
        <v>1</v>
      </c>
      <c r="G156" s="5" t="s">
        <v>14</v>
      </c>
      <c r="H156" s="6" t="s">
        <v>0</v>
      </c>
      <c r="I156" s="7" t="s">
        <v>1</v>
      </c>
      <c r="L156" s="5" t="s">
        <v>14</v>
      </c>
      <c r="M156" s="7" t="s">
        <v>0</v>
      </c>
    </row>
    <row r="157" spans="1:14" x14ac:dyDescent="0.3">
      <c r="A157" s="8" t="s">
        <v>2</v>
      </c>
      <c r="B157" s="34">
        <v>2000</v>
      </c>
      <c r="C157" s="54">
        <v>-200</v>
      </c>
      <c r="D157" s="8" t="s">
        <v>2</v>
      </c>
      <c r="E157" s="9">
        <f>B169</f>
        <v>67136040</v>
      </c>
      <c r="F157" s="10">
        <f t="shared" ref="F157:F164" si="86">E157*2</f>
        <v>134272080</v>
      </c>
      <c r="G157" s="8" t="s">
        <v>2</v>
      </c>
      <c r="H157" s="25">
        <f>E168+F168</f>
        <v>112429558440</v>
      </c>
      <c r="I157" s="10">
        <v>0</v>
      </c>
      <c r="L157" s="8" t="s">
        <v>2</v>
      </c>
      <c r="M157" s="47"/>
    </row>
    <row r="158" spans="1:14" x14ac:dyDescent="0.3">
      <c r="A158" s="8" t="s">
        <v>3</v>
      </c>
      <c r="B158" s="34">
        <f t="shared" ref="B158:B167" si="87">B157+C157</f>
        <v>1800</v>
      </c>
      <c r="C158" s="57">
        <v>160</v>
      </c>
      <c r="D158" s="8" t="s">
        <v>3</v>
      </c>
      <c r="E158" s="28">
        <f>E157+F157-150000000</f>
        <v>51408120</v>
      </c>
      <c r="F158" s="10">
        <f t="shared" si="86"/>
        <v>102816240</v>
      </c>
      <c r="G158" s="8" t="s">
        <v>3</v>
      </c>
      <c r="H158" s="9">
        <f t="shared" ref="H158:H161" si="88">H157+I157</f>
        <v>112429558440</v>
      </c>
      <c r="I158" s="10">
        <v>0</v>
      </c>
      <c r="L158" s="8" t="s">
        <v>3</v>
      </c>
      <c r="M158" s="10"/>
    </row>
    <row r="159" spans="1:14" x14ac:dyDescent="0.3">
      <c r="A159" s="8" t="s">
        <v>4</v>
      </c>
      <c r="B159" s="34">
        <f t="shared" si="87"/>
        <v>1960</v>
      </c>
      <c r="C159" s="10">
        <f t="shared" ref="C159:C168" si="89">B159*2</f>
        <v>3920</v>
      </c>
      <c r="D159" s="8" t="s">
        <v>4</v>
      </c>
      <c r="E159" s="9">
        <f t="shared" ref="E159:E161" si="90">E158+F158</f>
        <v>154224360</v>
      </c>
      <c r="F159" s="10">
        <f t="shared" si="86"/>
        <v>308448720</v>
      </c>
      <c r="G159" s="8" t="s">
        <v>4</v>
      </c>
      <c r="H159" s="9">
        <f t="shared" si="88"/>
        <v>112429558440</v>
      </c>
      <c r="I159" s="10">
        <v>0</v>
      </c>
      <c r="L159" s="8" t="s">
        <v>4</v>
      </c>
      <c r="M159" s="10"/>
    </row>
    <row r="160" spans="1:14" x14ac:dyDescent="0.3">
      <c r="A160" s="8" t="s">
        <v>5</v>
      </c>
      <c r="B160" s="9">
        <f t="shared" si="87"/>
        <v>5880</v>
      </c>
      <c r="C160" s="10">
        <f t="shared" si="89"/>
        <v>11760</v>
      </c>
      <c r="D160" s="8" t="s">
        <v>5</v>
      </c>
      <c r="E160" s="9">
        <f t="shared" si="90"/>
        <v>462673080</v>
      </c>
      <c r="F160" s="10">
        <f t="shared" si="86"/>
        <v>925346160</v>
      </c>
      <c r="G160" s="8" t="s">
        <v>5</v>
      </c>
      <c r="H160" s="9">
        <f t="shared" si="88"/>
        <v>112429558440</v>
      </c>
      <c r="I160" s="10">
        <v>0</v>
      </c>
      <c r="L160" s="8" t="s">
        <v>5</v>
      </c>
      <c r="M160" s="10"/>
    </row>
    <row r="161" spans="1:13" x14ac:dyDescent="0.3">
      <c r="A161" s="8" t="s">
        <v>6</v>
      </c>
      <c r="B161" s="9">
        <f t="shared" si="87"/>
        <v>17640</v>
      </c>
      <c r="C161" s="10">
        <f t="shared" si="89"/>
        <v>35280</v>
      </c>
      <c r="D161" s="8" t="s">
        <v>6</v>
      </c>
      <c r="E161" s="9">
        <f t="shared" si="90"/>
        <v>1388019240</v>
      </c>
      <c r="F161" s="10">
        <f t="shared" si="86"/>
        <v>2776038480</v>
      </c>
      <c r="G161" s="8" t="s">
        <v>6</v>
      </c>
      <c r="H161" s="9">
        <f t="shared" si="88"/>
        <v>112429558440</v>
      </c>
      <c r="I161" s="10">
        <v>0</v>
      </c>
      <c r="L161" s="8" t="s">
        <v>6</v>
      </c>
      <c r="M161" s="10"/>
    </row>
    <row r="162" spans="1:13" x14ac:dyDescent="0.3">
      <c r="A162" s="8" t="s">
        <v>7</v>
      </c>
      <c r="B162" s="9">
        <f t="shared" si="87"/>
        <v>52920</v>
      </c>
      <c r="C162" s="10">
        <f t="shared" si="89"/>
        <v>105840</v>
      </c>
      <c r="D162" s="8" t="s">
        <v>7</v>
      </c>
      <c r="E162" s="25">
        <f>E161+F161</f>
        <v>4164057720</v>
      </c>
      <c r="F162" s="10">
        <f t="shared" si="86"/>
        <v>8328115440</v>
      </c>
      <c r="G162" s="8" t="s">
        <v>7</v>
      </c>
      <c r="H162" s="25">
        <f>H161+I161</f>
        <v>112429558440</v>
      </c>
      <c r="I162" s="10">
        <v>0</v>
      </c>
      <c r="L162" s="8" t="s">
        <v>7</v>
      </c>
      <c r="M162" s="47"/>
    </row>
    <row r="163" spans="1:13" x14ac:dyDescent="0.3">
      <c r="A163" s="8" t="s">
        <v>8</v>
      </c>
      <c r="B163" s="9">
        <f t="shared" si="87"/>
        <v>158760</v>
      </c>
      <c r="C163" s="10">
        <f t="shared" si="89"/>
        <v>317520</v>
      </c>
      <c r="D163" s="8" t="s">
        <v>8</v>
      </c>
      <c r="E163" s="28">
        <f>E162+F162</f>
        <v>12492173160</v>
      </c>
      <c r="F163" s="10">
        <f t="shared" si="86"/>
        <v>24984346320</v>
      </c>
      <c r="G163" s="8" t="s">
        <v>8</v>
      </c>
      <c r="H163" s="9">
        <f t="shared" ref="H163:H164" si="91">H162+I162</f>
        <v>112429558440</v>
      </c>
      <c r="I163" s="10">
        <v>0</v>
      </c>
      <c r="L163" s="56" t="s">
        <v>8</v>
      </c>
      <c r="M163" s="10"/>
    </row>
    <row r="164" spans="1:13" x14ac:dyDescent="0.3">
      <c r="A164" s="8" t="s">
        <v>9</v>
      </c>
      <c r="B164" s="9">
        <f t="shared" si="87"/>
        <v>476280</v>
      </c>
      <c r="C164" s="10">
        <f t="shared" si="89"/>
        <v>952560</v>
      </c>
      <c r="D164" s="8" t="s">
        <v>9</v>
      </c>
      <c r="E164" s="9">
        <f t="shared" ref="E164:E165" si="92">E163+F163</f>
        <v>37476519480</v>
      </c>
      <c r="F164" s="10">
        <f t="shared" si="86"/>
        <v>74953038960</v>
      </c>
      <c r="G164" s="8" t="s">
        <v>9</v>
      </c>
      <c r="H164" s="9">
        <f t="shared" si="91"/>
        <v>112429558440</v>
      </c>
      <c r="I164" s="10">
        <v>0</v>
      </c>
      <c r="L164" s="8" t="s">
        <v>160</v>
      </c>
      <c r="M164" s="10">
        <v>1500000000</v>
      </c>
    </row>
    <row r="165" spans="1:13" x14ac:dyDescent="0.3">
      <c r="A165" s="8" t="s">
        <v>10</v>
      </c>
      <c r="B165" s="28">
        <f>B164+C164-600000</f>
        <v>828840</v>
      </c>
      <c r="C165" s="10">
        <f t="shared" si="89"/>
        <v>1657680</v>
      </c>
      <c r="D165" s="8" t="s">
        <v>10</v>
      </c>
      <c r="E165" s="9">
        <f t="shared" si="92"/>
        <v>112429558440</v>
      </c>
      <c r="F165" s="10">
        <v>0</v>
      </c>
      <c r="G165" s="8" t="s">
        <v>10</v>
      </c>
      <c r="H165" s="25">
        <f>H164+I164</f>
        <v>112429558440</v>
      </c>
      <c r="I165" s="10">
        <v>0</v>
      </c>
      <c r="J165" t="s">
        <v>177</v>
      </c>
      <c r="L165" s="8" t="s">
        <v>161</v>
      </c>
      <c r="M165" s="10">
        <v>9000000000</v>
      </c>
    </row>
    <row r="166" spans="1:13" x14ac:dyDescent="0.3">
      <c r="A166" s="8" t="s">
        <v>11</v>
      </c>
      <c r="B166" s="9">
        <f t="shared" si="87"/>
        <v>2486520</v>
      </c>
      <c r="C166" s="10">
        <f t="shared" si="89"/>
        <v>4973040</v>
      </c>
      <c r="D166" s="8" t="s">
        <v>11</v>
      </c>
      <c r="E166" s="25">
        <f>E165+F165</f>
        <v>112429558440</v>
      </c>
      <c r="F166" s="10">
        <v>0</v>
      </c>
      <c r="G166" s="8" t="s">
        <v>11</v>
      </c>
      <c r="H166" s="9">
        <f t="shared" ref="H166:H169" si="93">H165+I165</f>
        <v>112429558440</v>
      </c>
      <c r="I166" s="10">
        <v>0</v>
      </c>
      <c r="J166" t="s">
        <v>157</v>
      </c>
      <c r="L166" s="8" t="s">
        <v>162</v>
      </c>
      <c r="M166" s="10">
        <v>9000000000</v>
      </c>
    </row>
    <row r="167" spans="1:13" x14ac:dyDescent="0.3">
      <c r="A167" s="8" t="s">
        <v>12</v>
      </c>
      <c r="B167" s="9">
        <f t="shared" si="87"/>
        <v>7459560</v>
      </c>
      <c r="C167" s="10">
        <f t="shared" si="89"/>
        <v>14919120</v>
      </c>
      <c r="D167" s="8" t="s">
        <v>12</v>
      </c>
      <c r="E167" s="9">
        <f t="shared" ref="E167:E169" si="94">E166+F166</f>
        <v>112429558440</v>
      </c>
      <c r="F167" s="10">
        <v>0</v>
      </c>
      <c r="G167" s="8" t="s">
        <v>12</v>
      </c>
      <c r="H167" s="9">
        <f t="shared" si="93"/>
        <v>112429558440</v>
      </c>
      <c r="I167" s="10">
        <v>0</v>
      </c>
      <c r="L167" s="8" t="s">
        <v>86</v>
      </c>
      <c r="M167" s="10">
        <v>4000000000</v>
      </c>
    </row>
    <row r="168" spans="1:13" ht="15" thickBot="1" x14ac:dyDescent="0.35">
      <c r="A168" s="11" t="s">
        <v>13</v>
      </c>
      <c r="B168" s="31">
        <f>B167+C167</f>
        <v>22378680</v>
      </c>
      <c r="C168" s="10">
        <f t="shared" si="89"/>
        <v>44757360</v>
      </c>
      <c r="D168" s="11" t="s">
        <v>13</v>
      </c>
      <c r="E168" s="12">
        <f t="shared" si="94"/>
        <v>112429558440</v>
      </c>
      <c r="F168" s="10">
        <v>0</v>
      </c>
      <c r="G168" s="11" t="s">
        <v>13</v>
      </c>
      <c r="H168" s="12">
        <f t="shared" si="93"/>
        <v>112429558440</v>
      </c>
      <c r="I168" s="10">
        <v>0</v>
      </c>
      <c r="L168" s="11" t="s">
        <v>163</v>
      </c>
      <c r="M168" s="13">
        <v>88000000000</v>
      </c>
    </row>
    <row r="169" spans="1:13" ht="15" thickBot="1" x14ac:dyDescent="0.35">
      <c r="A169" s="14" t="s">
        <v>15</v>
      </c>
      <c r="B169" s="42">
        <f>B168+C168</f>
        <v>67136040</v>
      </c>
      <c r="C169" s="16"/>
      <c r="D169" s="14" t="s">
        <v>15</v>
      </c>
      <c r="E169" s="15">
        <f t="shared" si="94"/>
        <v>112429558440</v>
      </c>
      <c r="F169" s="16"/>
      <c r="G169" s="14" t="s">
        <v>15</v>
      </c>
      <c r="H169" s="15">
        <f t="shared" si="93"/>
        <v>112429558440</v>
      </c>
      <c r="I169" s="16"/>
      <c r="L169" s="14" t="s">
        <v>15</v>
      </c>
      <c r="M169" s="36">
        <f>SUM(M156:M168)</f>
        <v>111500000000</v>
      </c>
    </row>
    <row r="170" spans="1:13" ht="15" thickBot="1" x14ac:dyDescent="0.35">
      <c r="A170" s="14" t="s">
        <v>75</v>
      </c>
      <c r="B170" s="39"/>
      <c r="C170" s="36">
        <f>SUM(C157:C169)</f>
        <v>67734040</v>
      </c>
      <c r="D170" s="25" t="s">
        <v>61</v>
      </c>
      <c r="E170" s="3"/>
      <c r="F170" s="43"/>
      <c r="H170" s="3"/>
      <c r="I170" s="43"/>
      <c r="L170" t="s">
        <v>229</v>
      </c>
      <c r="M170" s="3"/>
    </row>
    <row r="171" spans="1:13" x14ac:dyDescent="0.3">
      <c r="A171" s="25" t="s">
        <v>63</v>
      </c>
      <c r="D171" s="25" t="s">
        <v>170</v>
      </c>
      <c r="L171" t="s">
        <v>230</v>
      </c>
    </row>
    <row r="172" spans="1:13" x14ac:dyDescent="0.3">
      <c r="A172" s="25" t="s">
        <v>209</v>
      </c>
      <c r="D172" s="25" t="s">
        <v>159</v>
      </c>
      <c r="L172" s="25" t="s">
        <v>197</v>
      </c>
    </row>
    <row r="173" spans="1:13" x14ac:dyDescent="0.3">
      <c r="A173" s="25" t="s">
        <v>164</v>
      </c>
      <c r="D173" s="25" t="s">
        <v>60</v>
      </c>
      <c r="G173" s="25"/>
      <c r="L173" s="25" t="s">
        <v>231</v>
      </c>
    </row>
    <row r="174" spans="1:13" x14ac:dyDescent="0.3">
      <c r="D174" s="25" t="s">
        <v>65</v>
      </c>
      <c r="L174" t="s">
        <v>232</v>
      </c>
    </row>
    <row r="177" spans="1:2" x14ac:dyDescent="0.3">
      <c r="A177">
        <v>775000</v>
      </c>
      <c r="B177" t="s">
        <v>172</v>
      </c>
    </row>
    <row r="178" spans="1:2" x14ac:dyDescent="0.3">
      <c r="A178">
        <v>-80000</v>
      </c>
      <c r="B178" t="s">
        <v>173</v>
      </c>
    </row>
    <row r="179" spans="1:2" x14ac:dyDescent="0.3">
      <c r="A179">
        <v>-222000</v>
      </c>
      <c r="B179" t="s">
        <v>227</v>
      </c>
    </row>
    <row r="180" spans="1:2" x14ac:dyDescent="0.3">
      <c r="A180">
        <v>-350000</v>
      </c>
      <c r="B180" t="s">
        <v>174</v>
      </c>
    </row>
    <row r="181" spans="1:2" x14ac:dyDescent="0.3">
      <c r="A181">
        <v>-123000</v>
      </c>
      <c r="B181" t="s">
        <v>175</v>
      </c>
    </row>
    <row r="182" spans="1:2" x14ac:dyDescent="0.3">
      <c r="A182">
        <f>SUM(A177:A181)</f>
        <v>0</v>
      </c>
      <c r="B182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D7F7-857D-4251-8145-61A257938508}">
  <dimension ref="A1:E74"/>
  <sheetViews>
    <sheetView tabSelected="1" workbookViewId="0">
      <selection activeCell="D18" sqref="D18"/>
    </sheetView>
  </sheetViews>
  <sheetFormatPr defaultRowHeight="14.4" x14ac:dyDescent="0.3"/>
  <cols>
    <col min="1" max="1" width="12" customWidth="1"/>
    <col min="2" max="2" width="15.5546875" customWidth="1"/>
    <col min="3" max="3" width="32.44140625" customWidth="1"/>
    <col min="4" max="4" width="24.33203125" bestFit="1" customWidth="1"/>
    <col min="5" max="5" width="49.6640625" bestFit="1" customWidth="1"/>
  </cols>
  <sheetData>
    <row r="1" spans="1:5" x14ac:dyDescent="0.3">
      <c r="A1" t="s">
        <v>38</v>
      </c>
    </row>
    <row r="2" spans="1:5" x14ac:dyDescent="0.3">
      <c r="C2" s="20"/>
      <c r="D2" s="1"/>
    </row>
    <row r="3" spans="1:5" x14ac:dyDescent="0.3">
      <c r="A3" s="17" t="s">
        <v>16</v>
      </c>
      <c r="B3" s="17" t="s">
        <v>17</v>
      </c>
      <c r="C3" s="18" t="s">
        <v>43</v>
      </c>
      <c r="D3" s="19" t="s">
        <v>18</v>
      </c>
      <c r="E3" s="17" t="s">
        <v>19</v>
      </c>
    </row>
    <row r="4" spans="1:5" x14ac:dyDescent="0.3">
      <c r="A4" t="s">
        <v>41</v>
      </c>
      <c r="B4" t="s">
        <v>20</v>
      </c>
      <c r="C4" t="s">
        <v>243</v>
      </c>
      <c r="D4" s="1">
        <f>6*130000</f>
        <v>780000</v>
      </c>
      <c r="E4" s="21" t="s">
        <v>247</v>
      </c>
    </row>
    <row r="5" spans="1:5" x14ac:dyDescent="0.3">
      <c r="A5" t="s">
        <v>41</v>
      </c>
      <c r="B5" t="s">
        <v>20</v>
      </c>
      <c r="C5" t="s">
        <v>244</v>
      </c>
      <c r="D5" s="1">
        <f>10*260000</f>
        <v>2600000</v>
      </c>
      <c r="E5" s="21" t="s">
        <v>248</v>
      </c>
    </row>
    <row r="6" spans="1:5" x14ac:dyDescent="0.3">
      <c r="A6" t="s">
        <v>41</v>
      </c>
      <c r="B6" t="s">
        <v>22</v>
      </c>
      <c r="C6" t="s">
        <v>142</v>
      </c>
      <c r="D6" s="1">
        <v>0</v>
      </c>
      <c r="E6" s="21" t="s">
        <v>246</v>
      </c>
    </row>
    <row r="7" spans="1:5" x14ac:dyDescent="0.3">
      <c r="A7" t="s">
        <v>41</v>
      </c>
      <c r="B7" t="s">
        <v>22</v>
      </c>
      <c r="C7" t="s">
        <v>245</v>
      </c>
      <c r="D7" s="1">
        <f>10*120000</f>
        <v>1200000</v>
      </c>
      <c r="E7" s="21" t="s">
        <v>250</v>
      </c>
    </row>
    <row r="8" spans="1:5" x14ac:dyDescent="0.3">
      <c r="A8" t="s">
        <v>41</v>
      </c>
      <c r="B8" t="s">
        <v>20</v>
      </c>
      <c r="C8" t="s">
        <v>24</v>
      </c>
      <c r="D8" s="1">
        <v>9970000</v>
      </c>
      <c r="E8" s="21" t="s">
        <v>25</v>
      </c>
    </row>
    <row r="9" spans="1:5" x14ac:dyDescent="0.3">
      <c r="A9" t="s">
        <v>41</v>
      </c>
      <c r="B9" t="s">
        <v>26</v>
      </c>
      <c r="C9" t="s">
        <v>26</v>
      </c>
      <c r="D9" s="1">
        <v>42000000</v>
      </c>
      <c r="E9" s="21" t="s">
        <v>39</v>
      </c>
    </row>
    <row r="10" spans="1:5" x14ac:dyDescent="0.3">
      <c r="A10" t="s">
        <v>41</v>
      </c>
      <c r="B10" t="s">
        <v>27</v>
      </c>
      <c r="C10" t="s">
        <v>27</v>
      </c>
      <c r="D10" s="1">
        <v>1000000</v>
      </c>
      <c r="E10" s="21" t="s">
        <v>28</v>
      </c>
    </row>
    <row r="11" spans="1:5" x14ac:dyDescent="0.3">
      <c r="A11" t="s">
        <v>41</v>
      </c>
      <c r="B11" t="s">
        <v>29</v>
      </c>
      <c r="C11" t="s">
        <v>30</v>
      </c>
      <c r="D11" s="1">
        <v>2000000</v>
      </c>
      <c r="E11" s="21" t="s">
        <v>28</v>
      </c>
    </row>
    <row r="12" spans="1:5" x14ac:dyDescent="0.3">
      <c r="A12" t="s">
        <v>41</v>
      </c>
      <c r="B12" t="s">
        <v>31</v>
      </c>
      <c r="C12" t="s">
        <v>32</v>
      </c>
      <c r="D12" s="1">
        <v>9000000</v>
      </c>
      <c r="E12" s="21" t="s">
        <v>33</v>
      </c>
    </row>
    <row r="13" spans="1:5" x14ac:dyDescent="0.3">
      <c r="A13" t="s">
        <v>41</v>
      </c>
      <c r="B13" t="s">
        <v>20</v>
      </c>
      <c r="C13" t="s">
        <v>34</v>
      </c>
      <c r="D13" s="1">
        <f>(15000*3)*10</f>
        <v>450000</v>
      </c>
      <c r="E13" s="21" t="s">
        <v>37</v>
      </c>
    </row>
    <row r="14" spans="1:5" x14ac:dyDescent="0.3">
      <c r="A14" t="s">
        <v>41</v>
      </c>
      <c r="B14" t="s">
        <v>35</v>
      </c>
      <c r="C14" t="s">
        <v>36</v>
      </c>
      <c r="D14" s="1">
        <f>2*5000000</f>
        <v>10000000</v>
      </c>
      <c r="E14" s="21" t="s">
        <v>249</v>
      </c>
    </row>
    <row r="15" spans="1:5" x14ac:dyDescent="0.3">
      <c r="D15" s="1">
        <f>SUM(D2:D14)</f>
        <v>79000000</v>
      </c>
      <c r="E15" s="21"/>
    </row>
    <row r="16" spans="1:5" x14ac:dyDescent="0.3">
      <c r="C16" s="1">
        <v>79000000</v>
      </c>
      <c r="D16" s="1"/>
      <c r="E16" s="22"/>
    </row>
    <row r="17" spans="1:5" x14ac:dyDescent="0.3">
      <c r="C17" s="1">
        <v>163928</v>
      </c>
      <c r="D17" s="1"/>
      <c r="E17" s="22"/>
    </row>
    <row r="18" spans="1:5" x14ac:dyDescent="0.3">
      <c r="C18" s="23"/>
      <c r="D18" s="1"/>
    </row>
    <row r="19" spans="1:5" x14ac:dyDescent="0.3">
      <c r="C19" s="24"/>
      <c r="D19" s="1"/>
    </row>
    <row r="20" spans="1:5" x14ac:dyDescent="0.3">
      <c r="C20" s="24"/>
      <c r="D20" s="1"/>
    </row>
    <row r="21" spans="1:5" x14ac:dyDescent="0.3">
      <c r="D21" s="1"/>
    </row>
    <row r="22" spans="1:5" x14ac:dyDescent="0.3">
      <c r="A22" t="s">
        <v>183</v>
      </c>
    </row>
    <row r="23" spans="1:5" x14ac:dyDescent="0.3">
      <c r="A23" s="17" t="s">
        <v>16</v>
      </c>
      <c r="B23" s="17" t="s">
        <v>17</v>
      </c>
      <c r="C23" s="18" t="s">
        <v>43</v>
      </c>
      <c r="D23" s="19" t="s">
        <v>18</v>
      </c>
      <c r="E23" s="17" t="s">
        <v>19</v>
      </c>
    </row>
    <row r="24" spans="1:5" x14ac:dyDescent="0.3">
      <c r="A24" s="40" t="s">
        <v>168</v>
      </c>
      <c r="B24" s="40" t="s">
        <v>79</v>
      </c>
      <c r="C24" s="41" t="s">
        <v>78</v>
      </c>
      <c r="D24" s="1">
        <f>150000000*0.37</f>
        <v>55500000</v>
      </c>
      <c r="E24" s="40" t="s">
        <v>171</v>
      </c>
    </row>
    <row r="25" spans="1:5" x14ac:dyDescent="0.3">
      <c r="A25" t="s">
        <v>165</v>
      </c>
      <c r="B25" t="s">
        <v>20</v>
      </c>
      <c r="C25" t="s">
        <v>141</v>
      </c>
      <c r="D25" s="1">
        <f>5*260000</f>
        <v>1300000</v>
      </c>
      <c r="E25" s="21" t="s">
        <v>143</v>
      </c>
    </row>
    <row r="26" spans="1:5" x14ac:dyDescent="0.3">
      <c r="A26" t="s">
        <v>165</v>
      </c>
      <c r="B26" t="s">
        <v>22</v>
      </c>
      <c r="C26" t="s">
        <v>142</v>
      </c>
      <c r="D26" s="1">
        <f>5*240000</f>
        <v>1200000</v>
      </c>
      <c r="E26" s="21" t="s">
        <v>144</v>
      </c>
    </row>
    <row r="27" spans="1:5" x14ac:dyDescent="0.3">
      <c r="A27" t="s">
        <v>166</v>
      </c>
      <c r="B27" t="s">
        <v>20</v>
      </c>
      <c r="C27" t="s">
        <v>24</v>
      </c>
      <c r="D27" s="1">
        <v>7775000</v>
      </c>
      <c r="E27" s="21" t="s">
        <v>25</v>
      </c>
    </row>
    <row r="28" spans="1:5" x14ac:dyDescent="0.3">
      <c r="A28" t="s">
        <v>166</v>
      </c>
      <c r="B28" t="s">
        <v>26</v>
      </c>
      <c r="C28" t="s">
        <v>26</v>
      </c>
      <c r="D28" s="1">
        <v>66000000</v>
      </c>
      <c r="E28" s="21" t="s">
        <v>180</v>
      </c>
    </row>
    <row r="29" spans="1:5" x14ac:dyDescent="0.3">
      <c r="A29" t="s">
        <v>167</v>
      </c>
      <c r="B29" t="s">
        <v>27</v>
      </c>
      <c r="C29" t="s">
        <v>27</v>
      </c>
      <c r="D29" s="1">
        <v>1000000</v>
      </c>
      <c r="E29" s="21" t="s">
        <v>181</v>
      </c>
    </row>
    <row r="30" spans="1:5" x14ac:dyDescent="0.3">
      <c r="A30" t="s">
        <v>167</v>
      </c>
      <c r="B30" t="s">
        <v>29</v>
      </c>
      <c r="C30" t="s">
        <v>30</v>
      </c>
      <c r="D30" s="1">
        <v>2000000</v>
      </c>
      <c r="E30" s="21" t="s">
        <v>181</v>
      </c>
    </row>
    <row r="31" spans="1:5" x14ac:dyDescent="0.3">
      <c r="A31" t="s">
        <v>167</v>
      </c>
      <c r="B31" t="s">
        <v>35</v>
      </c>
      <c r="C31" t="s">
        <v>36</v>
      </c>
      <c r="D31" s="1">
        <f>3*5000000</f>
        <v>15000000</v>
      </c>
      <c r="E31" s="21" t="s">
        <v>158</v>
      </c>
    </row>
    <row r="32" spans="1:5" x14ac:dyDescent="0.3">
      <c r="A32" t="s">
        <v>165</v>
      </c>
      <c r="B32" t="s">
        <v>20</v>
      </c>
      <c r="C32" t="s">
        <v>34</v>
      </c>
      <c r="D32" s="1">
        <f>(15000*3)*5</f>
        <v>225000</v>
      </c>
      <c r="E32" s="21" t="s">
        <v>85</v>
      </c>
    </row>
    <row r="33" spans="1:5" x14ac:dyDescent="0.3">
      <c r="D33" s="1">
        <f>SUM(D24:D32)</f>
        <v>150000000</v>
      </c>
      <c r="E33" s="21"/>
    </row>
    <row r="34" spans="1:5" x14ac:dyDescent="0.3">
      <c r="C34" s="1">
        <v>150000000</v>
      </c>
      <c r="D34" s="1"/>
      <c r="E34" s="21"/>
    </row>
    <row r="35" spans="1:5" x14ac:dyDescent="0.3">
      <c r="E35" s="22"/>
    </row>
    <row r="40" spans="1:5" x14ac:dyDescent="0.3">
      <c r="A40" t="s">
        <v>184</v>
      </c>
    </row>
    <row r="41" spans="1:5" x14ac:dyDescent="0.3">
      <c r="A41" s="17" t="s">
        <v>16</v>
      </c>
      <c r="B41" s="17" t="s">
        <v>17</v>
      </c>
      <c r="C41" s="18" t="s">
        <v>43</v>
      </c>
      <c r="D41" s="19" t="s">
        <v>18</v>
      </c>
      <c r="E41" s="17" t="s">
        <v>19</v>
      </c>
    </row>
    <row r="42" spans="1:5" x14ac:dyDescent="0.3">
      <c r="A42" s="40" t="s">
        <v>167</v>
      </c>
      <c r="B42" s="40" t="s">
        <v>20</v>
      </c>
      <c r="C42" s="41" t="s">
        <v>145</v>
      </c>
      <c r="D42" s="1">
        <v>50000000</v>
      </c>
      <c r="E42" s="40" t="s">
        <v>147</v>
      </c>
    </row>
    <row r="43" spans="1:5" x14ac:dyDescent="0.3">
      <c r="A43" t="s">
        <v>165</v>
      </c>
      <c r="B43" t="s">
        <v>20</v>
      </c>
      <c r="C43" t="s">
        <v>76</v>
      </c>
      <c r="D43" s="1">
        <f>10*520000</f>
        <v>5200000</v>
      </c>
      <c r="E43" s="21" t="s">
        <v>223</v>
      </c>
    </row>
    <row r="44" spans="1:5" x14ac:dyDescent="0.3">
      <c r="A44" t="s">
        <v>165</v>
      </c>
      <c r="B44" t="s">
        <v>22</v>
      </c>
      <c r="C44" t="s">
        <v>77</v>
      </c>
      <c r="D44" s="1">
        <f>10*480000</f>
        <v>4800000</v>
      </c>
      <c r="E44" s="21" t="s">
        <v>224</v>
      </c>
    </row>
    <row r="45" spans="1:5" x14ac:dyDescent="0.3">
      <c r="A45" t="s">
        <v>166</v>
      </c>
      <c r="B45" t="s">
        <v>20</v>
      </c>
      <c r="C45" t="s">
        <v>24</v>
      </c>
      <c r="D45" s="1">
        <v>8850000</v>
      </c>
      <c r="E45" s="21" t="s">
        <v>25</v>
      </c>
    </row>
    <row r="46" spans="1:5" x14ac:dyDescent="0.3">
      <c r="A46" t="s">
        <v>167</v>
      </c>
      <c r="B46" t="s">
        <v>26</v>
      </c>
      <c r="C46" t="s">
        <v>26</v>
      </c>
      <c r="D46" s="1">
        <v>364000000</v>
      </c>
      <c r="E46" s="21" t="s">
        <v>225</v>
      </c>
    </row>
    <row r="47" spans="1:5" x14ac:dyDescent="0.3">
      <c r="A47" t="s">
        <v>167</v>
      </c>
      <c r="B47" t="s">
        <v>27</v>
      </c>
      <c r="C47" t="s">
        <v>27</v>
      </c>
      <c r="D47" s="1">
        <v>1000000</v>
      </c>
      <c r="E47" s="21" t="s">
        <v>182</v>
      </c>
    </row>
    <row r="48" spans="1:5" x14ac:dyDescent="0.3">
      <c r="A48" t="s">
        <v>167</v>
      </c>
      <c r="B48" t="s">
        <v>29</v>
      </c>
      <c r="C48" t="s">
        <v>30</v>
      </c>
      <c r="D48" s="1">
        <v>2000000</v>
      </c>
      <c r="E48" s="21" t="s">
        <v>182</v>
      </c>
    </row>
    <row r="49" spans="1:5" x14ac:dyDescent="0.3">
      <c r="A49" t="s">
        <v>167</v>
      </c>
      <c r="B49" t="s">
        <v>35</v>
      </c>
      <c r="C49" t="s">
        <v>36</v>
      </c>
      <c r="D49" s="1">
        <f>3*14000000</f>
        <v>42000000</v>
      </c>
      <c r="E49" s="21" t="s">
        <v>195</v>
      </c>
    </row>
    <row r="50" spans="1:5" x14ac:dyDescent="0.3">
      <c r="A50" t="s">
        <v>165</v>
      </c>
      <c r="B50" t="s">
        <v>20</v>
      </c>
      <c r="C50" t="s">
        <v>34</v>
      </c>
      <c r="D50" s="1">
        <f>(30000*3)*5</f>
        <v>450000</v>
      </c>
      <c r="E50" s="21" t="s">
        <v>146</v>
      </c>
    </row>
    <row r="51" spans="1:5" x14ac:dyDescent="0.3">
      <c r="A51" t="s">
        <v>165</v>
      </c>
      <c r="B51" t="s">
        <v>20</v>
      </c>
      <c r="C51" t="s">
        <v>148</v>
      </c>
      <c r="D51" s="1">
        <f>(60000*3)*5</f>
        <v>900000</v>
      </c>
      <c r="E51" s="21" t="s">
        <v>155</v>
      </c>
    </row>
    <row r="52" spans="1:5" x14ac:dyDescent="0.3">
      <c r="A52" t="s">
        <v>165</v>
      </c>
      <c r="B52" t="s">
        <v>20</v>
      </c>
      <c r="C52" t="s">
        <v>152</v>
      </c>
      <c r="D52" s="1">
        <f>(3*120000)*10</f>
        <v>3600000</v>
      </c>
      <c r="E52" s="21" t="s">
        <v>154</v>
      </c>
    </row>
    <row r="53" spans="1:5" x14ac:dyDescent="0.3">
      <c r="A53" t="s">
        <v>165</v>
      </c>
      <c r="B53" t="s">
        <v>20</v>
      </c>
      <c r="C53" t="s">
        <v>188</v>
      </c>
      <c r="D53" s="1">
        <f>(3*240000)*10</f>
        <v>7200000</v>
      </c>
      <c r="E53" s="21" t="s">
        <v>153</v>
      </c>
    </row>
    <row r="54" spans="1:5" x14ac:dyDescent="0.3">
      <c r="A54" t="s">
        <v>167</v>
      </c>
      <c r="B54" t="s">
        <v>20</v>
      </c>
      <c r="C54" t="s">
        <v>149</v>
      </c>
      <c r="D54" s="1">
        <f>5*2000000</f>
        <v>10000000</v>
      </c>
      <c r="E54" s="21" t="s">
        <v>150</v>
      </c>
    </row>
    <row r="55" spans="1:5" x14ac:dyDescent="0.3">
      <c r="D55" s="1">
        <f>SUM(D42:D54)</f>
        <v>500000000</v>
      </c>
      <c r="E55" s="21"/>
    </row>
    <row r="56" spans="1:5" x14ac:dyDescent="0.3">
      <c r="C56" s="1">
        <v>500000000</v>
      </c>
      <c r="D56" s="1"/>
      <c r="E56" s="21"/>
    </row>
    <row r="57" spans="1:5" x14ac:dyDescent="0.3">
      <c r="E57" s="22"/>
    </row>
    <row r="61" spans="1:5" x14ac:dyDescent="0.3">
      <c r="A61" t="s">
        <v>185</v>
      </c>
    </row>
    <row r="62" spans="1:5" x14ac:dyDescent="0.3">
      <c r="A62" s="17" t="s">
        <v>16</v>
      </c>
      <c r="B62" s="17" t="s">
        <v>17</v>
      </c>
      <c r="C62" s="18" t="s">
        <v>43</v>
      </c>
      <c r="D62" s="19" t="s">
        <v>18</v>
      </c>
      <c r="E62" s="17" t="s">
        <v>19</v>
      </c>
    </row>
    <row r="63" spans="1:5" x14ac:dyDescent="0.3">
      <c r="A63" s="40" t="s">
        <v>167</v>
      </c>
      <c r="B63" s="40" t="s">
        <v>20</v>
      </c>
      <c r="C63" s="41" t="s">
        <v>145</v>
      </c>
      <c r="D63" s="1">
        <v>50000000</v>
      </c>
      <c r="E63" s="40" t="s">
        <v>147</v>
      </c>
    </row>
    <row r="64" spans="1:5" x14ac:dyDescent="0.3">
      <c r="A64" t="s">
        <v>165</v>
      </c>
      <c r="B64" t="s">
        <v>20</v>
      </c>
      <c r="C64" t="s">
        <v>21</v>
      </c>
      <c r="D64" s="1">
        <f>20*520000</f>
        <v>10400000</v>
      </c>
      <c r="E64" s="21" t="s">
        <v>186</v>
      </c>
    </row>
    <row r="65" spans="1:5" x14ac:dyDescent="0.3">
      <c r="A65" t="s">
        <v>165</v>
      </c>
      <c r="B65" t="s">
        <v>22</v>
      </c>
      <c r="C65" t="s">
        <v>23</v>
      </c>
      <c r="D65" s="1">
        <f>20*480000</f>
        <v>9600000</v>
      </c>
      <c r="E65" s="21" t="s">
        <v>187</v>
      </c>
    </row>
    <row r="66" spans="1:5" x14ac:dyDescent="0.3">
      <c r="A66" t="s">
        <v>166</v>
      </c>
      <c r="B66" t="s">
        <v>20</v>
      </c>
      <c r="C66" t="s">
        <v>24</v>
      </c>
      <c r="D66" s="1">
        <v>21560000</v>
      </c>
      <c r="E66" s="21" t="s">
        <v>25</v>
      </c>
    </row>
    <row r="67" spans="1:5" x14ac:dyDescent="0.3">
      <c r="A67" t="s">
        <v>167</v>
      </c>
      <c r="B67" t="s">
        <v>26</v>
      </c>
      <c r="C67" t="s">
        <v>26</v>
      </c>
      <c r="D67" s="1">
        <v>769000000</v>
      </c>
      <c r="E67" s="21" t="s">
        <v>39</v>
      </c>
    </row>
    <row r="68" spans="1:5" x14ac:dyDescent="0.3">
      <c r="A68" t="s">
        <v>167</v>
      </c>
      <c r="B68" t="s">
        <v>27</v>
      </c>
      <c r="C68" t="s">
        <v>27</v>
      </c>
      <c r="D68" s="1">
        <v>2000000</v>
      </c>
      <c r="E68" s="21" t="s">
        <v>28</v>
      </c>
    </row>
    <row r="69" spans="1:5" x14ac:dyDescent="0.3">
      <c r="A69" t="s">
        <v>167</v>
      </c>
      <c r="B69" t="s">
        <v>29</v>
      </c>
      <c r="C69" t="s">
        <v>30</v>
      </c>
      <c r="D69" s="1">
        <v>4000000</v>
      </c>
      <c r="E69" s="21" t="s">
        <v>28</v>
      </c>
    </row>
    <row r="70" spans="1:5" x14ac:dyDescent="0.3">
      <c r="A70" t="s">
        <v>167</v>
      </c>
      <c r="B70" t="s">
        <v>35</v>
      </c>
      <c r="C70" t="s">
        <v>36</v>
      </c>
      <c r="D70" s="1">
        <f>3*14000000</f>
        <v>42000000</v>
      </c>
      <c r="E70" s="21" t="s">
        <v>196</v>
      </c>
    </row>
    <row r="71" spans="1:5" x14ac:dyDescent="0.3">
      <c r="A71" t="s">
        <v>165</v>
      </c>
      <c r="B71" t="s">
        <v>20</v>
      </c>
      <c r="C71" t="s">
        <v>151</v>
      </c>
      <c r="D71" s="1">
        <f>(3*48000)*10</f>
        <v>1440000</v>
      </c>
      <c r="E71" s="21" t="s">
        <v>189</v>
      </c>
    </row>
    <row r="72" spans="1:5" x14ac:dyDescent="0.3">
      <c r="A72" t="s">
        <v>167</v>
      </c>
      <c r="B72" t="s">
        <v>20</v>
      </c>
      <c r="C72" t="s">
        <v>149</v>
      </c>
      <c r="D72" s="1">
        <f>5*8000000</f>
        <v>40000000</v>
      </c>
      <c r="E72" s="21" t="s">
        <v>190</v>
      </c>
    </row>
    <row r="73" spans="1:5" x14ac:dyDescent="0.3">
      <c r="D73" s="1">
        <f>SUM(D63:D72)</f>
        <v>950000000</v>
      </c>
      <c r="E73" s="21"/>
    </row>
    <row r="74" spans="1:5" x14ac:dyDescent="0.3">
      <c r="C74" s="1">
        <v>950000000</v>
      </c>
      <c r="D74" s="1"/>
      <c r="E7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Investing 10 Rule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Tuomy</dc:creator>
  <cp:lastModifiedBy>Jason Tuomy</cp:lastModifiedBy>
  <dcterms:created xsi:type="dcterms:W3CDTF">2020-11-18T20:10:38Z</dcterms:created>
  <dcterms:modified xsi:type="dcterms:W3CDTF">2021-03-17T22:25:51Z</dcterms:modified>
</cp:coreProperties>
</file>