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espencer_uidaho_edu/Documents/Documents/Bee Research Summer 2022/Host Resistance/Data/"/>
    </mc:Choice>
  </mc:AlternateContent>
  <xr:revisionPtr revIDLastSave="760" documentId="8_{FA11F360-92F5-4DB9-84F3-90504257AD14}" xr6:coauthVersionLast="47" xr6:coauthVersionMax="47" xr10:uidLastSave="{340A9DA0-5E9B-4B16-9090-4864064DB162}"/>
  <bookViews>
    <workbookView xWindow="-108" yWindow="-108" windowWidth="23256" windowHeight="12576" firstSheet="1" activeTab="2" xr2:uid="{64EC7225-BF5E-4502-A048-0E78B591D3DF}"/>
  </bookViews>
  <sheets>
    <sheet name="Cross Resistance Streaking" sheetId="1" r:id="rId1"/>
    <sheet name="Spot Plating Cross Resistance" sheetId="2" r:id="rId2"/>
    <sheet name="Titering" sheetId="3" r:id="rId3"/>
    <sheet name="TMTC Titering" sheetId="5" r:id="rId4"/>
    <sheet name="Printing Page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5" l="1"/>
  <c r="C26" i="5"/>
  <c r="C27" i="5" s="1"/>
  <c r="C25" i="5"/>
  <c r="C23" i="5"/>
  <c r="C22" i="5"/>
  <c r="C24" i="5" s="1"/>
  <c r="G21" i="5"/>
  <c r="D29" i="5"/>
  <c r="D28" i="5"/>
  <c r="C19" i="5"/>
  <c r="C18" i="5"/>
  <c r="C20" i="5" s="1"/>
  <c r="C17" i="5"/>
  <c r="D30" i="5" l="1"/>
  <c r="G14" i="5"/>
  <c r="E14" i="5"/>
  <c r="D15" i="5"/>
  <c r="D14" i="5"/>
  <c r="D7" i="5"/>
  <c r="D6" i="5"/>
  <c r="G5" i="5"/>
  <c r="G4" i="5"/>
  <c r="E12" i="5"/>
  <c r="D13" i="5"/>
  <c r="D9" i="5"/>
  <c r="D10" i="5"/>
  <c r="C10" i="5"/>
  <c r="C9" i="5"/>
  <c r="O5" i="3"/>
  <c r="N5" i="3"/>
  <c r="H26" i="3"/>
  <c r="F26" i="3"/>
  <c r="I20" i="3"/>
  <c r="H20" i="3"/>
  <c r="F20" i="3"/>
  <c r="H19" i="3"/>
  <c r="F19" i="3"/>
  <c r="H16" i="3"/>
  <c r="H15" i="3"/>
  <c r="F15" i="3"/>
  <c r="C11" i="5" l="1"/>
  <c r="D8" i="5"/>
  <c r="D16" i="5"/>
  <c r="D11" i="5"/>
  <c r="H25" i="3"/>
  <c r="F22" i="3"/>
  <c r="F23" i="3"/>
  <c r="J35" i="3"/>
  <c r="F35" i="3"/>
  <c r="M10" i="3"/>
  <c r="N10" i="2"/>
  <c r="N9" i="2"/>
  <c r="N8" i="2"/>
  <c r="N7" i="2"/>
  <c r="N6" i="2"/>
  <c r="N5" i="2"/>
  <c r="N4" i="2"/>
  <c r="N3" i="2"/>
  <c r="M9" i="3"/>
  <c r="M8" i="3"/>
  <c r="M7" i="3"/>
  <c r="M6" i="3"/>
  <c r="M5" i="3"/>
  <c r="M4" i="3"/>
  <c r="M3" i="3"/>
  <c r="F9" i="3"/>
  <c r="F27" i="3" l="1"/>
  <c r="F12" i="3"/>
  <c r="F11" i="3" l="1"/>
  <c r="F10" i="3"/>
  <c r="F7" i="3"/>
  <c r="F17" i="3"/>
  <c r="G34" i="3" l="1"/>
  <c r="D34" i="3"/>
  <c r="D31" i="3"/>
  <c r="F33" i="3"/>
  <c r="E33" i="3"/>
  <c r="D33" i="3"/>
  <c r="C33" i="3"/>
  <c r="J37" i="3"/>
  <c r="I37" i="3"/>
  <c r="C37" i="3"/>
  <c r="D7" i="3"/>
  <c r="C7" i="3"/>
  <c r="G6" i="3"/>
  <c r="C6" i="3"/>
  <c r="E29" i="3" l="1"/>
  <c r="J29" i="3"/>
  <c r="H13" i="3"/>
  <c r="G13" i="3"/>
  <c r="D13" i="3"/>
  <c r="C13" i="3"/>
  <c r="J36" i="3"/>
  <c r="D30" i="3"/>
  <c r="C30" i="3"/>
  <c r="H37" i="3"/>
  <c r="E37" i="3"/>
  <c r="J38" i="3"/>
  <c r="E38" i="3"/>
  <c r="F32" i="3"/>
  <c r="H32" i="3"/>
  <c r="I32" i="3"/>
  <c r="C31" i="3"/>
  <c r="J28" i="3"/>
  <c r="E28" i="3"/>
  <c r="J27" i="3"/>
  <c r="E27" i="3"/>
  <c r="I23" i="3"/>
  <c r="H23" i="3"/>
  <c r="I22" i="3"/>
  <c r="H22" i="3"/>
  <c r="I21" i="3"/>
  <c r="H21" i="3"/>
  <c r="F21" i="3"/>
  <c r="I18" i="3"/>
  <c r="H18" i="3"/>
  <c r="F18" i="3"/>
  <c r="I17" i="3"/>
  <c r="H17" i="3"/>
  <c r="I14" i="3"/>
  <c r="H14" i="3"/>
  <c r="F14" i="3"/>
  <c r="I13" i="3"/>
  <c r="I12" i="3"/>
  <c r="H12" i="3"/>
  <c r="D11" i="3"/>
</calcChain>
</file>

<file path=xl/sharedStrings.xml><?xml version="1.0" encoding="utf-8"?>
<sst xmlns="http://schemas.openxmlformats.org/spreadsheetml/2006/main" count="479" uniqueCount="121">
  <si>
    <t>P. larvae Resistant Strains</t>
  </si>
  <si>
    <t>Family 1</t>
  </si>
  <si>
    <t>Family 2</t>
  </si>
  <si>
    <t>Family 3</t>
  </si>
  <si>
    <t>99% Similar</t>
  </si>
  <si>
    <t>F</t>
  </si>
  <si>
    <t>Wa</t>
  </si>
  <si>
    <t>XIII</t>
  </si>
  <si>
    <t>Heath</t>
  </si>
  <si>
    <t>Halcyone</t>
  </si>
  <si>
    <t>Scottie</t>
  </si>
  <si>
    <t>Unity</t>
  </si>
  <si>
    <t>V</t>
  </si>
  <si>
    <t>Y3650 ANC</t>
  </si>
  <si>
    <t>F.r.Y3650 γb</t>
  </si>
  <si>
    <t>F.r.Y3650 x</t>
  </si>
  <si>
    <t>F.r.Y3650 z</t>
  </si>
  <si>
    <t>Hal</t>
  </si>
  <si>
    <t>Hal.r.Y3650 αb</t>
  </si>
  <si>
    <t>Hal.r.Y3650 βb</t>
  </si>
  <si>
    <t>Hal.r.Y3650 γb</t>
  </si>
  <si>
    <t>Heath.r.Y3650 α</t>
  </si>
  <si>
    <t>Heath.r.Y3650 β</t>
  </si>
  <si>
    <t>Heath.r.Y3650 y</t>
  </si>
  <si>
    <t>Scot</t>
  </si>
  <si>
    <t>Soct.r.Y3650 β</t>
  </si>
  <si>
    <t>Scot.r.Y3650 γ</t>
  </si>
  <si>
    <t>Unity.r.Y3650 αb</t>
  </si>
  <si>
    <t>Unity.r.Y3650 x</t>
  </si>
  <si>
    <t>Unity.r.Y3650 z</t>
  </si>
  <si>
    <t>V.r.Y3650 αa</t>
  </si>
  <si>
    <t>V.r.Y3650 x</t>
  </si>
  <si>
    <t>V.r.Y3650 y</t>
  </si>
  <si>
    <t xml:space="preserve">Wa.r.Y3650 α </t>
  </si>
  <si>
    <t>Wa.r.Y3650 x</t>
  </si>
  <si>
    <t>Wa.r.Y3650 z</t>
  </si>
  <si>
    <t>XIII.r.Y3650 βa</t>
  </si>
  <si>
    <t>XIII.r.Y3650 βb</t>
  </si>
  <si>
    <t>Scot.r.Vx a</t>
  </si>
  <si>
    <t xml:space="preserve">Lysis </t>
  </si>
  <si>
    <t>No Lysis (Resistant)</t>
  </si>
  <si>
    <t xml:space="preserve">Cross Resistance Streaking </t>
  </si>
  <si>
    <t>Spot Plating Cross Resistance</t>
  </si>
  <si>
    <t>Scot.r.Vx #1</t>
  </si>
  <si>
    <t>Scot.r.Vx B</t>
  </si>
  <si>
    <t>1 plq</t>
  </si>
  <si>
    <t>3 plqs</t>
  </si>
  <si>
    <t>2 plqs</t>
  </si>
  <si>
    <t>Few plqs</t>
  </si>
  <si>
    <t>6 plqs</t>
  </si>
  <si>
    <t>5 uL nondilute culture streaked across  30-50 uL undilute phage stock (split up 4-8 lines)</t>
  </si>
  <si>
    <t>200 uL O/N lawn + 10 uL undilute Phage Stock</t>
  </si>
  <si>
    <t xml:space="preserve">Almost cleared </t>
  </si>
  <si>
    <t xml:space="preserve">Complete Clearing </t>
  </si>
  <si>
    <t>Complete Clearing</t>
  </si>
  <si>
    <t>Almost cleared</t>
  </si>
  <si>
    <t xml:space="preserve">TMTC </t>
  </si>
  <si>
    <t>Resistant - No plqs at 10 uL</t>
  </si>
  <si>
    <t>Very low titer on hosts</t>
  </si>
  <si>
    <t xml:space="preserve">Lysis/Complete clearing </t>
  </si>
  <si>
    <t>Cleared</t>
  </si>
  <si>
    <t>TMTC</t>
  </si>
  <si>
    <t xml:space="preserve">Cleared </t>
  </si>
  <si>
    <t xml:space="preserve">Almost completely cleared </t>
  </si>
  <si>
    <t>Nov. 18</t>
  </si>
  <si>
    <t>Heath.r.Y3650 x</t>
  </si>
  <si>
    <t>Heath.r.Y3650 z</t>
  </si>
  <si>
    <t>Heath.r.Y3650 γ</t>
  </si>
  <si>
    <t>Soct.r.Y3650 γ</t>
  </si>
  <si>
    <t>Soct.r.Y3650 r</t>
  </si>
  <si>
    <t>Soct.r.Y3650 s</t>
  </si>
  <si>
    <t>Scot.r.Y3650 t</t>
  </si>
  <si>
    <t>Unity.r.Y3650 l</t>
  </si>
  <si>
    <t>Unity.r.Y3650 m</t>
  </si>
  <si>
    <t>Unity.r.Y3650 n</t>
  </si>
  <si>
    <t>Unity.r.Y3650 o</t>
  </si>
  <si>
    <t>XIII.r.Y3650 x</t>
  </si>
  <si>
    <t>XIII.r.Y3650 y</t>
  </si>
  <si>
    <t>XIII.r.Y3650 z</t>
  </si>
  <si>
    <t>XIII.r.Y3650 s</t>
  </si>
  <si>
    <t>Scot.r.Y3650 r</t>
  </si>
  <si>
    <t>Scot.r.Y3650 s</t>
  </si>
  <si>
    <t>Phage Lysate Stock 5 mL</t>
  </si>
  <si>
    <t xml:space="preserve">Hal </t>
  </si>
  <si>
    <t>4 plqs</t>
  </si>
  <si>
    <t xml:space="preserve">~20 plqs </t>
  </si>
  <si>
    <t>~50 plqs not cleared completely</t>
  </si>
  <si>
    <t xml:space="preserve">200 uL lawn O/N culture with 5 uL of undilute phage stock - in top agar </t>
  </si>
  <si>
    <t xml:space="preserve">Phage stocks used </t>
  </si>
  <si>
    <t>~35 plqs</t>
  </si>
  <si>
    <t>~40 plqs</t>
  </si>
  <si>
    <t>Partial lysis - some plqs formed</t>
  </si>
  <si>
    <t>Partial lysis - plqs present</t>
  </si>
  <si>
    <t>4-6 plqs</t>
  </si>
  <si>
    <t>Plqs Present</t>
  </si>
  <si>
    <t>Plqs present</t>
  </si>
  <si>
    <t xml:space="preserve">2 plqs </t>
  </si>
  <si>
    <t xml:space="preserve">~60 plqs </t>
  </si>
  <si>
    <t xml:space="preserve">~45 plqs </t>
  </si>
  <si>
    <t xml:space="preserve">&lt;50 plqs </t>
  </si>
  <si>
    <t>5-10 plqs</t>
  </si>
  <si>
    <t xml:space="preserve">~10 plqs </t>
  </si>
  <si>
    <t>Titer plates not completed</t>
  </si>
  <si>
    <t>Stock 1</t>
  </si>
  <si>
    <t>Stock 2</t>
  </si>
  <si>
    <t>Dec.15th - ish</t>
  </si>
  <si>
    <t>F x</t>
  </si>
  <si>
    <t xml:space="preserve">No plqs? </t>
  </si>
  <si>
    <t>Scot.Vx #1</t>
  </si>
  <si>
    <t>Unity m</t>
  </si>
  <si>
    <r>
      <t xml:space="preserve">Scot.Vx </t>
    </r>
    <r>
      <rPr>
        <sz val="11"/>
        <color theme="1"/>
        <rFont val="Calibri"/>
        <family val="2"/>
      </rPr>
      <t>β</t>
    </r>
  </si>
  <si>
    <r>
      <t xml:space="preserve">Hal </t>
    </r>
    <r>
      <rPr>
        <sz val="11"/>
        <color theme="1"/>
        <rFont val="Calibri"/>
        <family val="2"/>
      </rPr>
      <t>αb</t>
    </r>
  </si>
  <si>
    <r>
      <t xml:space="preserve">Hal </t>
    </r>
    <r>
      <rPr>
        <sz val="11"/>
        <color theme="1"/>
        <rFont val="Calibri"/>
        <family val="2"/>
      </rPr>
      <t>βb</t>
    </r>
  </si>
  <si>
    <r>
      <t xml:space="preserve">Heath </t>
    </r>
    <r>
      <rPr>
        <sz val="11"/>
        <color theme="1"/>
        <rFont val="Calibri"/>
        <family val="2"/>
      </rPr>
      <t>α</t>
    </r>
  </si>
  <si>
    <r>
      <t xml:space="preserve">V </t>
    </r>
    <r>
      <rPr>
        <sz val="11"/>
        <color theme="1"/>
        <rFont val="Calibri"/>
        <family val="2"/>
      </rPr>
      <t>αa</t>
    </r>
  </si>
  <si>
    <t>V x</t>
  </si>
  <si>
    <t>V y</t>
  </si>
  <si>
    <t>XIII z</t>
  </si>
  <si>
    <r>
      <t xml:space="preserve">Wa </t>
    </r>
    <r>
      <rPr>
        <sz val="11"/>
        <color theme="1"/>
        <rFont val="Calibri"/>
        <family val="2"/>
      </rPr>
      <t>α</t>
    </r>
  </si>
  <si>
    <t>Wa x</t>
  </si>
  <si>
    <r>
      <t xml:space="preserve">XIII </t>
    </r>
    <r>
      <rPr>
        <sz val="11"/>
        <color theme="1"/>
        <rFont val="Calibri"/>
        <family val="2"/>
      </rPr>
      <t>βb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</si>
</sst>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DashDotDot">
        <color indexed="64"/>
      </right>
      <top style="thick">
        <color indexed="64"/>
      </top>
      <bottom style="medium">
        <color indexed="64"/>
      </bottom>
      <diagonal/>
    </border>
    <border>
      <left style="mediumDashDotDot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DashDotDot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DotDot">
        <color indexed="64"/>
      </right>
      <top style="medium">
        <color indexed="64"/>
      </top>
      <bottom style="medium">
        <color indexed="64"/>
      </bottom>
      <diagonal/>
    </border>
    <border>
      <left style="mediumDashDotDot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Dot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Dot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DashDot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DashDot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DashDot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Dot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DashDot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DashDot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Dot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DashDot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DashDot">
        <color indexed="64"/>
      </right>
      <top/>
      <bottom style="double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DashDot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3" borderId="40" xfId="0" applyFill="1" applyBorder="1"/>
    <xf numFmtId="0" fontId="0" fillId="2" borderId="41" xfId="0" applyFill="1" applyBorder="1"/>
    <xf numFmtId="0" fontId="0" fillId="2" borderId="43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0" fontId="0" fillId="2" borderId="50" xfId="0" applyFill="1" applyBorder="1"/>
    <xf numFmtId="0" fontId="1" fillId="3" borderId="51" xfId="0" applyFont="1" applyFill="1" applyBorder="1" applyAlignment="1">
      <alignment horizontal="center"/>
    </xf>
    <xf numFmtId="0" fontId="0" fillId="2" borderId="45" xfId="0" applyFill="1" applyBorder="1"/>
    <xf numFmtId="0" fontId="0" fillId="2" borderId="37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3" borderId="42" xfId="0" applyFill="1" applyBorder="1"/>
    <xf numFmtId="0" fontId="0" fillId="2" borderId="61" xfId="0" applyFill="1" applyBorder="1"/>
    <xf numFmtId="0" fontId="0" fillId="0" borderId="60" xfId="0" applyBorder="1"/>
    <xf numFmtId="0" fontId="0" fillId="3" borderId="61" xfId="0" applyFill="1" applyBorder="1"/>
    <xf numFmtId="0" fontId="0" fillId="0" borderId="60" xfId="0" applyBorder="1" applyAlignment="1">
      <alignment wrapText="1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16" fontId="0" fillId="0" borderId="0" xfId="0" applyNumberFormat="1"/>
    <xf numFmtId="0" fontId="0" fillId="3" borderId="31" xfId="0" applyFill="1" applyBorder="1" applyAlignment="1">
      <alignment horizontal="center" vertical="center"/>
    </xf>
    <xf numFmtId="0" fontId="0" fillId="3" borderId="0" xfId="0" applyFill="1"/>
    <xf numFmtId="0" fontId="0" fillId="3" borderId="34" xfId="0" applyFill="1" applyBorder="1" applyAlignment="1">
      <alignment horizontal="center" vertical="center"/>
    </xf>
    <xf numFmtId="0" fontId="0" fillId="3" borderId="62" xfId="0" applyFill="1" applyBorder="1"/>
    <xf numFmtId="0" fontId="0" fillId="3" borderId="65" xfId="0" applyFill="1" applyBorder="1"/>
    <xf numFmtId="0" fontId="0" fillId="0" borderId="60" xfId="0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2" borderId="53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2" borderId="51" xfId="0" applyFont="1" applyFill="1" applyBorder="1" applyAlignment="1">
      <alignment horizontal="center" vertical="center" wrapText="1"/>
    </xf>
    <xf numFmtId="0" fontId="3" fillId="3" borderId="65" xfId="0" applyFont="1" applyFill="1" applyBorder="1" applyAlignment="1">
      <alignment horizontal="center" vertical="center" wrapText="1"/>
    </xf>
    <xf numFmtId="0" fontId="3" fillId="3" borderId="62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4" borderId="53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0" xfId="0" applyAlignment="1">
      <alignment horizontal="center"/>
    </xf>
    <xf numFmtId="11" fontId="5" fillId="2" borderId="49" xfId="0" applyNumberFormat="1" applyFont="1" applyFill="1" applyBorder="1" applyAlignment="1">
      <alignment horizontal="center" vertical="center" wrapText="1"/>
    </xf>
    <xf numFmtId="11" fontId="5" fillId="2" borderId="51" xfId="0" applyNumberFormat="1" applyFont="1" applyFill="1" applyBorder="1" applyAlignment="1">
      <alignment horizontal="center" vertical="center" wrapText="1"/>
    </xf>
    <xf numFmtId="11" fontId="5" fillId="3" borderId="50" xfId="0" applyNumberFormat="1" applyFont="1" applyFill="1" applyBorder="1" applyAlignment="1">
      <alignment horizontal="center" vertical="center" wrapText="1"/>
    </xf>
    <xf numFmtId="11" fontId="5" fillId="3" borderId="40" xfId="0" applyNumberFormat="1" applyFont="1" applyFill="1" applyBorder="1" applyAlignment="1">
      <alignment horizontal="center" vertical="center" wrapText="1"/>
    </xf>
    <xf numFmtId="11" fontId="5" fillId="5" borderId="49" xfId="0" applyNumberFormat="1" applyFont="1" applyFill="1" applyBorder="1" applyAlignment="1">
      <alignment horizontal="center" vertical="center" wrapText="1"/>
    </xf>
    <xf numFmtId="11" fontId="5" fillId="5" borderId="40" xfId="0" applyNumberFormat="1" applyFont="1" applyFill="1" applyBorder="1" applyAlignment="1">
      <alignment horizontal="center" vertical="center" wrapText="1"/>
    </xf>
    <xf numFmtId="11" fontId="5" fillId="5" borderId="33" xfId="0" applyNumberFormat="1" applyFont="1" applyFill="1" applyBorder="1" applyAlignment="1">
      <alignment horizontal="center" vertical="center" wrapText="1"/>
    </xf>
    <xf numFmtId="11" fontId="5" fillId="5" borderId="29" xfId="0" applyNumberFormat="1" applyFont="1" applyFill="1" applyBorder="1" applyAlignment="1">
      <alignment horizontal="center" vertical="center" wrapText="1"/>
    </xf>
    <xf numFmtId="11" fontId="5" fillId="3" borderId="43" xfId="0" applyNumberFormat="1" applyFont="1" applyFill="1" applyBorder="1" applyAlignment="1">
      <alignment horizontal="center" vertical="center" wrapText="1"/>
    </xf>
    <xf numFmtId="11" fontId="5" fillId="5" borderId="78" xfId="0" applyNumberFormat="1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0" fillId="3" borderId="60" xfId="0" applyFill="1" applyBorder="1" applyAlignment="1">
      <alignment horizontal="center"/>
    </xf>
    <xf numFmtId="0" fontId="0" fillId="5" borderId="60" xfId="0" applyFill="1" applyBorder="1" applyAlignment="1">
      <alignment horizontal="center"/>
    </xf>
    <xf numFmtId="0" fontId="0" fillId="2" borderId="60" xfId="0" applyFill="1" applyBorder="1" applyAlignment="1">
      <alignment horizontal="center"/>
    </xf>
    <xf numFmtId="11" fontId="5" fillId="3" borderId="55" xfId="0" applyNumberFormat="1" applyFont="1" applyFill="1" applyBorder="1" applyAlignment="1">
      <alignment horizontal="center" vertical="center" wrapText="1"/>
    </xf>
    <xf numFmtId="11" fontId="5" fillId="3" borderId="29" xfId="0" applyNumberFormat="1" applyFont="1" applyFill="1" applyBorder="1" applyAlignment="1">
      <alignment horizontal="center" vertical="center" wrapText="1"/>
    </xf>
    <xf numFmtId="11" fontId="5" fillId="2" borderId="33" xfId="0" applyNumberFormat="1" applyFont="1" applyFill="1" applyBorder="1" applyAlignment="1">
      <alignment horizontal="center" vertical="center" wrapText="1"/>
    </xf>
    <xf numFmtId="11" fontId="5" fillId="2" borderId="56" xfId="0" applyNumberFormat="1" applyFont="1" applyFill="1" applyBorder="1" applyAlignment="1">
      <alignment horizontal="center" vertical="center" wrapText="1"/>
    </xf>
    <xf numFmtId="11" fontId="5" fillId="5" borderId="37" xfId="0" applyNumberFormat="1" applyFont="1" applyFill="1" applyBorder="1" applyAlignment="1">
      <alignment horizontal="center" vertical="center" wrapText="1"/>
    </xf>
    <xf numFmtId="11" fontId="5" fillId="5" borderId="41" xfId="0" applyNumberFormat="1" applyFont="1" applyFill="1" applyBorder="1" applyAlignment="1">
      <alignment horizontal="center" vertical="center" wrapText="1"/>
    </xf>
    <xf numFmtId="11" fontId="5" fillId="3" borderId="31" xfId="0" applyNumberFormat="1" applyFont="1" applyFill="1" applyBorder="1" applyAlignment="1">
      <alignment horizontal="center" vertical="center" wrapText="1"/>
    </xf>
    <xf numFmtId="11" fontId="5" fillId="5" borderId="34" xfId="0" applyNumberFormat="1" applyFont="1" applyFill="1" applyBorder="1" applyAlignment="1">
      <alignment horizontal="center" vertical="center" wrapText="1"/>
    </xf>
    <xf numFmtId="11" fontId="5" fillId="2" borderId="53" xfId="0" applyNumberFormat="1" applyFont="1" applyFill="1" applyBorder="1" applyAlignment="1">
      <alignment horizontal="center" vertical="center" wrapText="1"/>
    </xf>
    <xf numFmtId="11" fontId="5" fillId="2" borderId="55" xfId="0" applyNumberFormat="1" applyFont="1" applyFill="1" applyBorder="1" applyAlignment="1">
      <alignment horizontal="center" vertical="center" wrapText="1"/>
    </xf>
    <xf numFmtId="11" fontId="5" fillId="2" borderId="61" xfId="0" applyNumberFormat="1" applyFont="1" applyFill="1" applyBorder="1" applyAlignment="1">
      <alignment horizontal="center" vertical="center" wrapText="1"/>
    </xf>
    <xf numFmtId="11" fontId="5" fillId="2" borderId="74" xfId="0" applyNumberFormat="1" applyFont="1" applyFill="1" applyBorder="1" applyAlignment="1">
      <alignment horizontal="center" vertical="center" wrapText="1"/>
    </xf>
    <xf numFmtId="11" fontId="5" fillId="2" borderId="68" xfId="0" applyNumberFormat="1" applyFont="1" applyFill="1" applyBorder="1" applyAlignment="1">
      <alignment horizontal="center" vertical="center" wrapText="1"/>
    </xf>
    <xf numFmtId="11" fontId="5" fillId="2" borderId="79" xfId="0" applyNumberFormat="1" applyFont="1" applyFill="1" applyBorder="1" applyAlignment="1">
      <alignment horizontal="center" vertical="center" wrapText="1"/>
    </xf>
    <xf numFmtId="11" fontId="5" fillId="2" borderId="70" xfId="0" applyNumberFormat="1" applyFont="1" applyFill="1" applyBorder="1" applyAlignment="1">
      <alignment horizontal="center" vertical="center" wrapText="1"/>
    </xf>
    <xf numFmtId="11" fontId="5" fillId="3" borderId="41" xfId="0" applyNumberFormat="1" applyFont="1" applyFill="1" applyBorder="1" applyAlignment="1">
      <alignment horizontal="center" vertical="center" wrapText="1"/>
    </xf>
    <xf numFmtId="11" fontId="5" fillId="3" borderId="45" xfId="0" applyNumberFormat="1" applyFont="1" applyFill="1" applyBorder="1" applyAlignment="1">
      <alignment horizontal="center" vertical="center" wrapText="1"/>
    </xf>
    <xf numFmtId="11" fontId="5" fillId="2" borderId="41" xfId="0" applyNumberFormat="1" applyFont="1" applyFill="1" applyBorder="1" applyAlignment="1">
      <alignment horizontal="center" vertical="center" wrapText="1"/>
    </xf>
    <xf numFmtId="11" fontId="5" fillId="2" borderId="38" xfId="0" applyNumberFormat="1" applyFont="1" applyFill="1" applyBorder="1" applyAlignment="1">
      <alignment horizontal="center" vertical="center" wrapText="1"/>
    </xf>
    <xf numFmtId="11" fontId="5" fillId="2" borderId="37" xfId="0" applyNumberFormat="1" applyFont="1" applyFill="1" applyBorder="1" applyAlignment="1">
      <alignment horizontal="center" vertical="center" wrapText="1"/>
    </xf>
    <xf numFmtId="11" fontId="5" fillId="2" borderId="39" xfId="0" applyNumberFormat="1" applyFont="1" applyFill="1" applyBorder="1" applyAlignment="1">
      <alignment horizontal="center" vertical="center" wrapText="1"/>
    </xf>
    <xf numFmtId="11" fontId="5" fillId="2" borderId="43" xfId="0" applyNumberFormat="1" applyFont="1" applyFill="1" applyBorder="1" applyAlignment="1">
      <alignment horizontal="center" vertical="center" wrapText="1"/>
    </xf>
    <xf numFmtId="11" fontId="5" fillId="2" borderId="46" xfId="0" applyNumberFormat="1" applyFont="1" applyFill="1" applyBorder="1" applyAlignment="1">
      <alignment horizontal="center" vertical="center" wrapText="1"/>
    </xf>
    <xf numFmtId="11" fontId="5" fillId="2" borderId="48" xfId="0" applyNumberFormat="1" applyFont="1" applyFill="1" applyBorder="1" applyAlignment="1">
      <alignment horizontal="center" vertical="center" wrapText="1"/>
    </xf>
    <xf numFmtId="11" fontId="5" fillId="2" borderId="47" xfId="0" applyNumberFormat="1" applyFont="1" applyFill="1" applyBorder="1" applyAlignment="1">
      <alignment horizontal="center" vertical="center" wrapText="1"/>
    </xf>
    <xf numFmtId="11" fontId="5" fillId="2" borderId="50" xfId="0" applyNumberFormat="1" applyFont="1" applyFill="1" applyBorder="1" applyAlignment="1">
      <alignment horizontal="center" vertical="center" wrapText="1"/>
    </xf>
    <xf numFmtId="11" fontId="5" fillId="2" borderId="45" xfId="0" applyNumberFormat="1" applyFont="1" applyFill="1" applyBorder="1" applyAlignment="1">
      <alignment horizontal="center" vertical="center" wrapText="1"/>
    </xf>
    <xf numFmtId="11" fontId="5" fillId="2" borderId="40" xfId="0" applyNumberFormat="1" applyFont="1" applyFill="1" applyBorder="1" applyAlignment="1">
      <alignment horizontal="center" vertical="center" wrapText="1"/>
    </xf>
    <xf numFmtId="11" fontId="5" fillId="2" borderId="42" xfId="0" applyNumberFormat="1" applyFont="1" applyFill="1" applyBorder="1" applyAlignment="1">
      <alignment horizontal="center" vertical="center" wrapText="1"/>
    </xf>
    <xf numFmtId="11" fontId="5" fillId="2" borderId="32" xfId="0" applyNumberFormat="1" applyFont="1" applyFill="1" applyBorder="1" applyAlignment="1">
      <alignment horizontal="center" vertical="center" wrapText="1"/>
    </xf>
    <xf numFmtId="11" fontId="5" fillId="2" borderId="35" xfId="0" applyNumberFormat="1" applyFont="1" applyFill="1" applyBorder="1" applyAlignment="1">
      <alignment horizontal="center" vertical="center" wrapText="1"/>
    </xf>
    <xf numFmtId="11" fontId="5" fillId="2" borderId="29" xfId="0" applyNumberFormat="1" applyFont="1" applyFill="1" applyBorder="1" applyAlignment="1">
      <alignment horizontal="center" vertical="center" wrapText="1"/>
    </xf>
    <xf numFmtId="11" fontId="5" fillId="3" borderId="38" xfId="0" applyNumberFormat="1" applyFont="1" applyFill="1" applyBorder="1" applyAlignment="1">
      <alignment horizontal="center" vertical="center" wrapText="1"/>
    </xf>
    <xf numFmtId="11" fontId="5" fillId="3" borderId="37" xfId="0" applyNumberFormat="1" applyFont="1" applyFill="1" applyBorder="1" applyAlignment="1">
      <alignment horizontal="center" vertical="center" wrapText="1"/>
    </xf>
    <xf numFmtId="11" fontId="5" fillId="3" borderId="39" xfId="0" applyNumberFormat="1" applyFont="1" applyFill="1" applyBorder="1" applyAlignment="1">
      <alignment horizontal="center" vertical="center" wrapText="1"/>
    </xf>
    <xf numFmtId="11" fontId="5" fillId="2" borderId="54" xfId="0" applyNumberFormat="1" applyFont="1" applyFill="1" applyBorder="1" applyAlignment="1">
      <alignment horizontal="center" vertical="center" wrapText="1"/>
    </xf>
    <xf numFmtId="11" fontId="5" fillId="5" borderId="52" xfId="0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0" xfId="0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1" fillId="0" borderId="51" xfId="0" applyFont="1" applyBorder="1" applyAlignment="1">
      <alignment horizontal="center"/>
    </xf>
    <xf numFmtId="0" fontId="0" fillId="0" borderId="45" xfId="0" applyBorder="1"/>
    <xf numFmtId="0" fontId="0" fillId="0" borderId="62" xfId="0" applyBorder="1" applyAlignment="1">
      <alignment horizontal="center" vertical="center"/>
    </xf>
    <xf numFmtId="0" fontId="0" fillId="0" borderId="63" xfId="0" applyBorder="1"/>
    <xf numFmtId="0" fontId="0" fillId="0" borderId="64" xfId="0" applyBorder="1"/>
    <xf numFmtId="0" fontId="0" fillId="0" borderId="62" xfId="0" applyBorder="1"/>
    <xf numFmtId="0" fontId="0" fillId="0" borderId="65" xfId="0" applyBorder="1"/>
    <xf numFmtId="0" fontId="0" fillId="0" borderId="58" xfId="0" applyBorder="1"/>
    <xf numFmtId="0" fontId="0" fillId="0" borderId="82" xfId="0" applyBorder="1"/>
    <xf numFmtId="0" fontId="0" fillId="0" borderId="83" xfId="0" applyBorder="1" applyAlignment="1">
      <alignment horizontal="center" vertical="center"/>
    </xf>
    <xf numFmtId="0" fontId="0" fillId="0" borderId="84" xfId="0" applyBorder="1"/>
    <xf numFmtId="0" fontId="0" fillId="0" borderId="86" xfId="0" applyBorder="1"/>
    <xf numFmtId="0" fontId="0" fillId="0" borderId="85" xfId="0" applyBorder="1"/>
    <xf numFmtId="0" fontId="0" fillId="0" borderId="61" xfId="0" applyBorder="1"/>
    <xf numFmtId="0" fontId="0" fillId="0" borderId="73" xfId="0" applyBorder="1"/>
    <xf numFmtId="11" fontId="5" fillId="3" borderId="88" xfId="0" applyNumberFormat="1" applyFont="1" applyFill="1" applyBorder="1" applyAlignment="1">
      <alignment horizontal="center" vertical="center" wrapText="1"/>
    </xf>
    <xf numFmtId="11" fontId="5" fillId="3" borderId="89" xfId="0" applyNumberFormat="1" applyFont="1" applyFill="1" applyBorder="1" applyAlignment="1">
      <alignment horizontal="center" vertical="center" wrapText="1"/>
    </xf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62" xfId="0" applyBorder="1" applyAlignment="1">
      <alignment horizontal="center"/>
    </xf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11" fontId="5" fillId="3" borderId="52" xfId="0" applyNumberFormat="1" applyFont="1" applyFill="1" applyBorder="1" applyAlignment="1">
      <alignment horizontal="center" vertical="center" wrapText="1"/>
    </xf>
    <xf numFmtId="11" fontId="5" fillId="3" borderId="54" xfId="0" applyNumberFormat="1" applyFont="1" applyFill="1" applyBorder="1" applyAlignment="1">
      <alignment horizontal="center" vertical="center" wrapText="1"/>
    </xf>
    <xf numFmtId="0" fontId="0" fillId="2" borderId="90" xfId="0" applyFill="1" applyBorder="1" applyAlignment="1">
      <alignment horizontal="center" vertical="center"/>
    </xf>
    <xf numFmtId="0" fontId="0" fillId="2" borderId="91" xfId="0" applyFill="1" applyBorder="1" applyAlignment="1">
      <alignment horizontal="center" vertical="center"/>
    </xf>
    <xf numFmtId="0" fontId="0" fillId="2" borderId="92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2" borderId="93" xfId="0" applyFill="1" applyBorder="1" applyAlignment="1">
      <alignment horizontal="center" vertical="center"/>
    </xf>
    <xf numFmtId="0" fontId="0" fillId="3" borderId="65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2" borderId="90" xfId="0" applyFill="1" applyBorder="1"/>
    <xf numFmtId="0" fontId="0" fillId="2" borderId="91" xfId="0" applyFill="1" applyBorder="1"/>
    <xf numFmtId="0" fontId="0" fillId="2" borderId="92" xfId="0" applyFill="1" applyBorder="1"/>
    <xf numFmtId="0" fontId="0" fillId="2" borderId="93" xfId="0" applyFill="1" applyBorder="1"/>
    <xf numFmtId="0" fontId="0" fillId="3" borderId="62" xfId="0" applyFill="1" applyBorder="1" applyAlignment="1">
      <alignment horizontal="center"/>
    </xf>
    <xf numFmtId="0" fontId="0" fillId="2" borderId="58" xfId="0" applyFill="1" applyBorder="1"/>
    <xf numFmtId="0" fontId="0" fillId="3" borderId="94" xfId="0" applyFill="1" applyBorder="1" applyAlignment="1">
      <alignment horizontal="center" vertical="center"/>
    </xf>
    <xf numFmtId="0" fontId="0" fillId="3" borderId="95" xfId="0" applyFill="1" applyBorder="1" applyAlignment="1">
      <alignment horizontal="center" vertical="center"/>
    </xf>
    <xf numFmtId="0" fontId="0" fillId="3" borderId="87" xfId="0" applyFill="1" applyBorder="1" applyAlignment="1">
      <alignment horizontal="center" vertical="center"/>
    </xf>
    <xf numFmtId="0" fontId="0" fillId="2" borderId="94" xfId="0" applyFill="1" applyBorder="1" applyAlignment="1">
      <alignment horizontal="center" vertical="center"/>
    </xf>
    <xf numFmtId="0" fontId="0" fillId="3" borderId="96" xfId="0" applyFill="1" applyBorder="1" applyAlignment="1">
      <alignment horizontal="center" vertical="center"/>
    </xf>
    <xf numFmtId="0" fontId="0" fillId="2" borderId="89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94" xfId="0" applyFill="1" applyBorder="1"/>
    <xf numFmtId="0" fontId="0" fillId="3" borderId="89" xfId="0" applyFill="1" applyBorder="1"/>
    <xf numFmtId="0" fontId="0" fillId="2" borderId="40" xfId="0" applyFill="1" applyBorder="1"/>
    <xf numFmtId="0" fontId="0" fillId="2" borderId="42" xfId="0" applyFill="1" applyBorder="1"/>
    <xf numFmtId="0" fontId="0" fillId="2" borderId="94" xfId="0" applyFill="1" applyBorder="1"/>
    <xf numFmtId="0" fontId="0" fillId="3" borderId="100" xfId="0" applyFill="1" applyBorder="1"/>
    <xf numFmtId="0" fontId="0" fillId="3" borderId="73" xfId="0" applyFill="1" applyBorder="1"/>
    <xf numFmtId="0" fontId="0" fillId="0" borderId="102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2" borderId="71" xfId="0" applyFill="1" applyBorder="1"/>
    <xf numFmtId="0" fontId="0" fillId="3" borderId="70" xfId="0" applyFill="1" applyBorder="1"/>
    <xf numFmtId="0" fontId="0" fillId="3" borderId="71" xfId="0" applyFill="1" applyBorder="1"/>
    <xf numFmtId="0" fontId="0" fillId="3" borderId="72" xfId="0" applyFill="1" applyBorder="1"/>
    <xf numFmtId="0" fontId="0" fillId="3" borderId="87" xfId="0" applyFill="1" applyBorder="1"/>
    <xf numFmtId="0" fontId="0" fillId="3" borderId="39" xfId="0" applyFill="1" applyBorder="1"/>
    <xf numFmtId="0" fontId="0" fillId="3" borderId="75" xfId="0" applyFill="1" applyBorder="1"/>
    <xf numFmtId="0" fontId="0" fillId="2" borderId="105" xfId="0" applyFill="1" applyBorder="1"/>
    <xf numFmtId="0" fontId="0" fillId="2" borderId="104" xfId="0" applyFill="1" applyBorder="1"/>
    <xf numFmtId="0" fontId="0" fillId="2" borderId="103" xfId="0" applyFill="1" applyBorder="1"/>
    <xf numFmtId="0" fontId="0" fillId="2" borderId="104" xfId="0" applyFill="1" applyBorder="1" applyAlignment="1">
      <alignment horizontal="center" vertical="center"/>
    </xf>
    <xf numFmtId="0" fontId="0" fillId="3" borderId="73" xfId="0" applyFill="1" applyBorder="1" applyAlignment="1">
      <alignment horizontal="center" vertical="center"/>
    </xf>
    <xf numFmtId="0" fontId="0" fillId="2" borderId="62" xfId="0" applyFill="1" applyBorder="1" applyAlignment="1">
      <alignment horizontal="center"/>
    </xf>
    <xf numFmtId="0" fontId="0" fillId="2" borderId="49" xfId="0" applyFill="1" applyBorder="1"/>
    <xf numFmtId="0" fontId="0" fillId="2" borderId="62" xfId="0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 wrapText="1"/>
    </xf>
    <xf numFmtId="0" fontId="3" fillId="2" borderId="91" xfId="0" applyFont="1" applyFill="1" applyBorder="1" applyAlignment="1">
      <alignment horizontal="center" vertical="center" wrapText="1"/>
    </xf>
    <xf numFmtId="0" fontId="3" fillId="2" borderId="92" xfId="0" applyFont="1" applyFill="1" applyBorder="1" applyAlignment="1">
      <alignment horizontal="center" vertical="center" wrapText="1"/>
    </xf>
    <xf numFmtId="0" fontId="3" fillId="2" borderId="93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3" fillId="4" borderId="62" xfId="0" applyFont="1" applyFill="1" applyBorder="1" applyAlignment="1">
      <alignment horizontal="center" vertical="center" wrapText="1"/>
    </xf>
    <xf numFmtId="0" fontId="3" fillId="2" borderId="87" xfId="0" applyFont="1" applyFill="1" applyBorder="1" applyAlignment="1">
      <alignment horizontal="center" vertical="center" wrapText="1"/>
    </xf>
    <xf numFmtId="0" fontId="3" fillId="2" borderId="94" xfId="0" applyFont="1" applyFill="1" applyBorder="1" applyAlignment="1">
      <alignment horizontal="center" vertical="center" wrapText="1"/>
    </xf>
    <xf numFmtId="0" fontId="3" fillId="2" borderId="89" xfId="0" applyFont="1" applyFill="1" applyBorder="1" applyAlignment="1">
      <alignment horizontal="center" vertical="center" wrapText="1"/>
    </xf>
    <xf numFmtId="0" fontId="0" fillId="0" borderId="10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/>
    <xf numFmtId="0" fontId="0" fillId="0" borderId="6" xfId="0" applyBorder="1" applyAlignment="1">
      <alignment horizontal="center"/>
    </xf>
    <xf numFmtId="11" fontId="0" fillId="0" borderId="6" xfId="0" applyNumberFormat="1" applyBorder="1"/>
    <xf numFmtId="0" fontId="0" fillId="0" borderId="13" xfId="0" applyBorder="1" applyAlignment="1">
      <alignment horizontal="center"/>
    </xf>
    <xf numFmtId="11" fontId="0" fillId="0" borderId="13" xfId="0" applyNumberFormat="1" applyBorder="1"/>
    <xf numFmtId="0" fontId="3" fillId="4" borderId="65" xfId="0" applyFont="1" applyFill="1" applyBorder="1" applyAlignment="1">
      <alignment horizontal="center" vertical="center" wrapText="1"/>
    </xf>
    <xf numFmtId="0" fontId="5" fillId="4" borderId="51" xfId="0" applyFont="1" applyFill="1" applyBorder="1" applyAlignment="1">
      <alignment horizontal="center" vertical="center" wrapText="1"/>
    </xf>
    <xf numFmtId="0" fontId="3" fillId="4" borderId="109" xfId="0" applyFont="1" applyFill="1" applyBorder="1" applyAlignment="1">
      <alignment horizontal="center" vertical="center" wrapText="1"/>
    </xf>
    <xf numFmtId="0" fontId="3" fillId="4" borderId="112" xfId="0" applyFont="1" applyFill="1" applyBorder="1" applyAlignment="1">
      <alignment horizontal="center" vertical="center" wrapText="1"/>
    </xf>
    <xf numFmtId="0" fontId="3" fillId="2" borderId="107" xfId="0" applyFont="1" applyFill="1" applyBorder="1" applyAlignment="1">
      <alignment horizontal="center" vertical="center" wrapText="1"/>
    </xf>
    <xf numFmtId="0" fontId="3" fillId="2" borderId="108" xfId="0" applyFont="1" applyFill="1" applyBorder="1" applyAlignment="1">
      <alignment horizontal="center" vertical="center" wrapText="1"/>
    </xf>
    <xf numFmtId="0" fontId="3" fillId="2" borderId="96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111" xfId="0" applyFont="1" applyFill="1" applyBorder="1" applyAlignment="1">
      <alignment horizontal="center" vertical="center" wrapText="1"/>
    </xf>
    <xf numFmtId="0" fontId="3" fillId="2" borderId="95" xfId="0" applyFont="1" applyFill="1" applyBorder="1" applyAlignment="1">
      <alignment horizontal="center" vertical="center" wrapText="1"/>
    </xf>
    <xf numFmtId="0" fontId="3" fillId="2" borderId="110" xfId="0" applyFont="1" applyFill="1" applyBorder="1" applyAlignment="1">
      <alignment horizontal="center" vertical="center" wrapText="1"/>
    </xf>
    <xf numFmtId="0" fontId="3" fillId="4" borderId="78" xfId="0" applyFont="1" applyFill="1" applyBorder="1" applyAlignment="1">
      <alignment horizontal="center" vertical="center" wrapText="1"/>
    </xf>
    <xf numFmtId="0" fontId="3" fillId="4" borderId="73" xfId="0" applyFont="1" applyFill="1" applyBorder="1" applyAlignment="1">
      <alignment horizontal="center" vertical="center" wrapText="1"/>
    </xf>
    <xf numFmtId="0" fontId="3" fillId="2" borderId="84" xfId="0" applyFont="1" applyFill="1" applyBorder="1" applyAlignment="1">
      <alignment horizontal="center" vertical="center" wrapText="1"/>
    </xf>
    <xf numFmtId="0" fontId="3" fillId="2" borderId="85" xfId="0" applyFont="1" applyFill="1" applyBorder="1" applyAlignment="1">
      <alignment horizontal="center" vertical="center" wrapText="1"/>
    </xf>
    <xf numFmtId="0" fontId="3" fillId="4" borderId="94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48" xfId="0" applyFont="1" applyFill="1" applyBorder="1" applyAlignment="1">
      <alignment horizontal="center" vertical="center" wrapText="1"/>
    </xf>
    <xf numFmtId="11" fontId="5" fillId="2" borderId="94" xfId="0" applyNumberFormat="1" applyFont="1" applyFill="1" applyBorder="1" applyAlignment="1">
      <alignment horizontal="center" vertical="center" wrapText="1"/>
    </xf>
    <xf numFmtId="11" fontId="5" fillId="2" borderId="84" xfId="0" applyNumberFormat="1" applyFont="1" applyFill="1" applyBorder="1" applyAlignment="1">
      <alignment horizontal="center" vertical="center" wrapText="1"/>
    </xf>
    <xf numFmtId="11" fontId="5" fillId="2" borderId="73" xfId="0" applyNumberFormat="1" applyFont="1" applyFill="1" applyBorder="1" applyAlignment="1">
      <alignment horizontal="center" vertical="center" wrapText="1"/>
    </xf>
    <xf numFmtId="11" fontId="5" fillId="2" borderId="0" xfId="0" applyNumberFormat="1" applyFont="1" applyFill="1" applyAlignment="1">
      <alignment horizontal="center" vertical="center" wrapText="1"/>
    </xf>
    <xf numFmtId="11" fontId="5" fillId="3" borderId="99" xfId="0" applyNumberFormat="1" applyFont="1" applyFill="1" applyBorder="1" applyAlignment="1">
      <alignment horizontal="center" vertical="center" wrapText="1"/>
    </xf>
    <xf numFmtId="11" fontId="5" fillId="3" borderId="94" xfId="0" applyNumberFormat="1" applyFont="1" applyFill="1" applyBorder="1" applyAlignment="1">
      <alignment horizontal="center" vertical="center" wrapText="1"/>
    </xf>
    <xf numFmtId="11" fontId="5" fillId="2" borderId="118" xfId="0" applyNumberFormat="1" applyFont="1" applyFill="1" applyBorder="1" applyAlignment="1">
      <alignment horizontal="center" vertical="center" wrapText="1"/>
    </xf>
    <xf numFmtId="0" fontId="0" fillId="0" borderId="120" xfId="0" applyBorder="1" applyAlignment="1">
      <alignment horizontal="center" vertical="center"/>
    </xf>
    <xf numFmtId="0" fontId="0" fillId="0" borderId="119" xfId="0" applyBorder="1"/>
    <xf numFmtId="0" fontId="0" fillId="4" borderId="62" xfId="0" applyFill="1" applyBorder="1"/>
    <xf numFmtId="0" fontId="0" fillId="4" borderId="49" xfId="0" applyFill="1" applyBorder="1"/>
    <xf numFmtId="0" fontId="0" fillId="4" borderId="62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122" xfId="0" applyFill="1" applyBorder="1"/>
    <xf numFmtId="0" fontId="0" fillId="4" borderId="61" xfId="0" applyFill="1" applyBorder="1"/>
    <xf numFmtId="0" fontId="6" fillId="0" borderId="60" xfId="0" applyFont="1" applyBorder="1" applyAlignment="1">
      <alignment horizontal="left" vertical="center" wrapText="1"/>
    </xf>
    <xf numFmtId="0" fontId="0" fillId="2" borderId="123" xfId="0" applyFill="1" applyBorder="1" applyAlignment="1">
      <alignment horizontal="center" vertical="center"/>
    </xf>
    <xf numFmtId="0" fontId="0" fillId="4" borderId="124" xfId="0" applyFill="1" applyBorder="1" applyAlignment="1">
      <alignment horizontal="center" vertical="center"/>
    </xf>
    <xf numFmtId="0" fontId="0" fillId="2" borderId="84" xfId="0" applyFill="1" applyBorder="1" applyAlignment="1">
      <alignment horizontal="center" vertical="center"/>
    </xf>
    <xf numFmtId="0" fontId="3" fillId="3" borderId="85" xfId="0" applyFont="1" applyFill="1" applyBorder="1" applyAlignment="1">
      <alignment horizontal="center" vertical="center" wrapText="1"/>
    </xf>
    <xf numFmtId="0" fontId="3" fillId="2" borderId="122" xfId="0" applyFont="1" applyFill="1" applyBorder="1" applyAlignment="1">
      <alignment horizontal="center" vertical="center" wrapText="1"/>
    </xf>
    <xf numFmtId="0" fontId="3" fillId="2" borderId="82" xfId="0" applyFont="1" applyFill="1" applyBorder="1" applyAlignment="1">
      <alignment horizontal="center" vertical="center" wrapText="1"/>
    </xf>
    <xf numFmtId="0" fontId="0" fillId="0" borderId="125" xfId="0" applyBorder="1" applyAlignment="1">
      <alignment horizontal="center" vertical="center" wrapText="1"/>
    </xf>
    <xf numFmtId="0" fontId="0" fillId="0" borderId="126" xfId="0" applyBorder="1" applyAlignment="1">
      <alignment horizontal="center" vertical="center"/>
    </xf>
    <xf numFmtId="0" fontId="0" fillId="0" borderId="127" xfId="0" applyBorder="1"/>
    <xf numFmtId="0" fontId="0" fillId="0" borderId="128" xfId="0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 wrapText="1"/>
    </xf>
    <xf numFmtId="0" fontId="3" fillId="3" borderId="120" xfId="0" applyFont="1" applyFill="1" applyBorder="1" applyAlignment="1">
      <alignment horizontal="center" vertical="center" wrapText="1"/>
    </xf>
    <xf numFmtId="0" fontId="3" fillId="2" borderId="130" xfId="0" applyFont="1" applyFill="1" applyBorder="1" applyAlignment="1">
      <alignment horizontal="center" vertical="center" wrapText="1"/>
    </xf>
    <xf numFmtId="0" fontId="3" fillId="2" borderId="71" xfId="0" applyFont="1" applyFill="1" applyBorder="1" applyAlignment="1">
      <alignment horizontal="center" vertical="center" wrapText="1"/>
    </xf>
    <xf numFmtId="0" fontId="3" fillId="2" borderId="70" xfId="0" applyFont="1" applyFill="1" applyBorder="1" applyAlignment="1">
      <alignment horizontal="center" vertical="center" wrapText="1"/>
    </xf>
    <xf numFmtId="0" fontId="0" fillId="0" borderId="131" xfId="0" applyBorder="1"/>
    <xf numFmtId="0" fontId="0" fillId="0" borderId="40" xfId="0" applyBorder="1" applyAlignment="1">
      <alignment wrapText="1"/>
    </xf>
    <xf numFmtId="0" fontId="0" fillId="0" borderId="94" xfId="0" applyBorder="1"/>
    <xf numFmtId="0" fontId="0" fillId="0" borderId="77" xfId="0" applyBorder="1" applyAlignment="1">
      <alignment horizontal="center"/>
    </xf>
    <xf numFmtId="0" fontId="0" fillId="0" borderId="63" xfId="0" applyBorder="1" applyAlignment="1">
      <alignment horizontal="center"/>
    </xf>
    <xf numFmtId="11" fontId="5" fillId="3" borderId="62" xfId="0" applyNumberFormat="1" applyFont="1" applyFill="1" applyBorder="1" applyAlignment="1">
      <alignment horizontal="center" vertical="center" wrapText="1"/>
    </xf>
    <xf numFmtId="11" fontId="5" fillId="3" borderId="84" xfId="0" applyNumberFormat="1" applyFont="1" applyFill="1" applyBorder="1" applyAlignment="1">
      <alignment horizontal="center" vertical="center" wrapText="1"/>
    </xf>
    <xf numFmtId="11" fontId="5" fillId="3" borderId="73" xfId="0" applyNumberFormat="1" applyFont="1" applyFill="1" applyBorder="1" applyAlignment="1">
      <alignment horizontal="center" vertical="center" wrapText="1"/>
    </xf>
    <xf numFmtId="11" fontId="5" fillId="3" borderId="132" xfId="0" applyNumberFormat="1" applyFont="1" applyFill="1" applyBorder="1" applyAlignment="1">
      <alignment horizontal="center" vertical="center" wrapText="1"/>
    </xf>
    <xf numFmtId="1" fontId="5" fillId="5" borderId="57" xfId="0" applyNumberFormat="1" applyFont="1" applyFill="1" applyBorder="1" applyAlignment="1">
      <alignment horizontal="center" vertical="center" wrapText="1"/>
    </xf>
    <xf numFmtId="1" fontId="5" fillId="5" borderId="73" xfId="0" applyNumberFormat="1" applyFont="1" applyFill="1" applyBorder="1" applyAlignment="1">
      <alignment horizontal="center" vertical="center" wrapText="1"/>
    </xf>
    <xf numFmtId="1" fontId="5" fillId="5" borderId="72" xfId="0" applyNumberFormat="1" applyFont="1" applyFill="1" applyBorder="1" applyAlignment="1">
      <alignment horizontal="center" vertical="center" wrapText="1"/>
    </xf>
    <xf numFmtId="1" fontId="5" fillId="5" borderId="42" xfId="0" applyNumberFormat="1" applyFont="1" applyFill="1" applyBorder="1" applyAlignment="1">
      <alignment horizontal="center" vertical="center" wrapText="1"/>
    </xf>
    <xf numFmtId="1" fontId="5" fillId="5" borderId="78" xfId="0" applyNumberFormat="1" applyFont="1" applyFill="1" applyBorder="1" applyAlignment="1">
      <alignment horizontal="center" vertical="center" wrapText="1"/>
    </xf>
    <xf numFmtId="1" fontId="5" fillId="5" borderId="75" xfId="0" applyNumberFormat="1" applyFont="1" applyFill="1" applyBorder="1" applyAlignment="1">
      <alignment horizontal="center" vertical="center" wrapText="1"/>
    </xf>
    <xf numFmtId="1" fontId="5" fillId="5" borderId="39" xfId="0" applyNumberFormat="1" applyFont="1" applyFill="1" applyBorder="1" applyAlignment="1">
      <alignment horizontal="center" vertical="center" wrapText="1"/>
    </xf>
    <xf numFmtId="1" fontId="5" fillId="5" borderId="45" xfId="0" applyNumberFormat="1" applyFont="1" applyFill="1" applyBorder="1" applyAlignment="1">
      <alignment horizontal="center" vertical="center" wrapText="1"/>
    </xf>
    <xf numFmtId="1" fontId="5" fillId="5" borderId="43" xfId="0" applyNumberFormat="1" applyFont="1" applyFill="1" applyBorder="1" applyAlignment="1">
      <alignment horizontal="center" vertical="center" wrapText="1"/>
    </xf>
    <xf numFmtId="1" fontId="5" fillId="5" borderId="29" xfId="0" applyNumberFormat="1" applyFont="1" applyFill="1" applyBorder="1" applyAlignment="1">
      <alignment horizontal="center" vertical="center" wrapText="1"/>
    </xf>
    <xf numFmtId="1" fontId="5" fillId="5" borderId="51" xfId="0" applyNumberFormat="1" applyFont="1" applyFill="1" applyBorder="1" applyAlignment="1">
      <alignment horizontal="center" vertical="center" wrapText="1"/>
    </xf>
    <xf numFmtId="1" fontId="5" fillId="5" borderId="49" xfId="0" applyNumberFormat="1" applyFont="1" applyFill="1" applyBorder="1" applyAlignment="1">
      <alignment horizontal="center" vertical="center" wrapText="1"/>
    </xf>
    <xf numFmtId="1" fontId="5" fillId="5" borderId="38" xfId="0" applyNumberFormat="1" applyFont="1" applyFill="1" applyBorder="1" applyAlignment="1">
      <alignment horizontal="center" vertical="center" wrapText="1"/>
    </xf>
    <xf numFmtId="1" fontId="5" fillId="5" borderId="53" xfId="0" applyNumberFormat="1" applyFont="1" applyFill="1" applyBorder="1" applyAlignment="1">
      <alignment horizontal="center" vertical="center" wrapText="1"/>
    </xf>
    <xf numFmtId="1" fontId="5" fillId="5" borderId="33" xfId="0" applyNumberFormat="1" applyFont="1" applyFill="1" applyBorder="1" applyAlignment="1">
      <alignment horizontal="center" vertical="center" wrapText="1"/>
    </xf>
    <xf numFmtId="1" fontId="5" fillId="5" borderId="40" xfId="0" applyNumberFormat="1" applyFont="1" applyFill="1" applyBorder="1" applyAlignment="1">
      <alignment horizontal="center" vertical="center" wrapText="1"/>
    </xf>
    <xf numFmtId="1" fontId="5" fillId="5" borderId="84" xfId="0" applyNumberFormat="1" applyFont="1" applyFill="1" applyBorder="1" applyAlignment="1">
      <alignment horizontal="center" vertical="center" wrapText="1"/>
    </xf>
    <xf numFmtId="1" fontId="5" fillId="5" borderId="48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5" fillId="5" borderId="85" xfId="0" applyNumberFormat="1" applyFont="1" applyFill="1" applyBorder="1" applyAlignment="1">
      <alignment horizontal="center" vertical="center" wrapText="1"/>
    </xf>
    <xf numFmtId="1" fontId="5" fillId="5" borderId="37" xfId="0" applyNumberFormat="1" applyFont="1" applyFill="1" applyBorder="1" applyAlignment="1">
      <alignment horizontal="center" vertical="center" wrapText="1"/>
    </xf>
    <xf numFmtId="1" fontId="5" fillId="5" borderId="41" xfId="0" applyNumberFormat="1" applyFont="1" applyFill="1" applyBorder="1" applyAlignment="1">
      <alignment horizontal="center" vertical="center" wrapText="1"/>
    </xf>
    <xf numFmtId="1" fontId="5" fillId="5" borderId="56" xfId="0" applyNumberFormat="1" applyFont="1" applyFill="1" applyBorder="1" applyAlignment="1">
      <alignment horizontal="center" vertical="center" wrapText="1"/>
    </xf>
    <xf numFmtId="1" fontId="5" fillId="5" borderId="47" xfId="0" applyNumberFormat="1" applyFont="1" applyFill="1" applyBorder="1" applyAlignment="1">
      <alignment horizontal="center" vertical="center" wrapText="1"/>
    </xf>
    <xf numFmtId="1" fontId="5" fillId="5" borderId="30" xfId="0" applyNumberFormat="1" applyFont="1" applyFill="1" applyBorder="1" applyAlignment="1">
      <alignment horizontal="center" vertical="center" wrapText="1"/>
    </xf>
    <xf numFmtId="11" fontId="5" fillId="2" borderId="134" xfId="0" applyNumberFormat="1" applyFont="1" applyFill="1" applyBorder="1" applyAlignment="1">
      <alignment horizontal="center" vertical="center" wrapText="1"/>
    </xf>
    <xf numFmtId="11" fontId="5" fillId="2" borderId="135" xfId="0" applyNumberFormat="1" applyFont="1" applyFill="1" applyBorder="1" applyAlignment="1">
      <alignment horizontal="center" vertical="center" wrapText="1"/>
    </xf>
    <xf numFmtId="11" fontId="5" fillId="2" borderId="136" xfId="0" applyNumberFormat="1" applyFont="1" applyFill="1" applyBorder="1" applyAlignment="1">
      <alignment horizontal="center" vertical="center" wrapText="1"/>
    </xf>
    <xf numFmtId="11" fontId="5" fillId="5" borderId="133" xfId="0" applyNumberFormat="1" applyFont="1" applyFill="1" applyBorder="1" applyAlignment="1">
      <alignment horizontal="center" vertical="center" wrapText="1"/>
    </xf>
    <xf numFmtId="1" fontId="5" fillId="5" borderId="137" xfId="0" applyNumberFormat="1" applyFont="1" applyFill="1" applyBorder="1" applyAlignment="1">
      <alignment horizontal="center" vertical="center" wrapText="1"/>
    </xf>
    <xf numFmtId="11" fontId="5" fillId="3" borderId="85" xfId="0" applyNumberFormat="1" applyFont="1" applyFill="1" applyBorder="1" applyAlignment="1">
      <alignment horizontal="center" vertical="center" wrapText="1"/>
    </xf>
    <xf numFmtId="11" fontId="5" fillId="3" borderId="42" xfId="0" applyNumberFormat="1" applyFont="1" applyFill="1" applyBorder="1" applyAlignment="1">
      <alignment horizontal="center" vertical="center" wrapText="1"/>
    </xf>
    <xf numFmtId="11" fontId="5" fillId="2" borderId="93" xfId="0" applyNumberFormat="1" applyFont="1" applyFill="1" applyBorder="1" applyAlignment="1">
      <alignment horizontal="center" vertical="center" wrapText="1"/>
    </xf>
    <xf numFmtId="11" fontId="5" fillId="5" borderId="88" xfId="0" applyNumberFormat="1" applyFont="1" applyFill="1" applyBorder="1" applyAlignment="1">
      <alignment horizontal="center" vertical="center" wrapText="1"/>
    </xf>
    <xf numFmtId="1" fontId="5" fillId="5" borderId="54" xfId="0" applyNumberFormat="1" applyFont="1" applyFill="1" applyBorder="1" applyAlignment="1">
      <alignment horizontal="center" vertical="center" wrapText="1"/>
    </xf>
    <xf numFmtId="1" fontId="5" fillId="5" borderId="91" xfId="0" applyNumberFormat="1" applyFont="1" applyFill="1" applyBorder="1" applyAlignment="1">
      <alignment horizontal="center" vertical="center" wrapText="1"/>
    </xf>
    <xf numFmtId="11" fontId="0" fillId="0" borderId="0" xfId="0" applyNumberFormat="1"/>
    <xf numFmtId="11" fontId="5" fillId="3" borderId="65" xfId="0" applyNumberFormat="1" applyFont="1" applyFill="1" applyBorder="1" applyAlignment="1">
      <alignment horizontal="center" vertical="center" wrapText="1"/>
    </xf>
    <xf numFmtId="11" fontId="5" fillId="2" borderId="90" xfId="0" applyNumberFormat="1" applyFont="1" applyFill="1" applyBorder="1" applyAlignment="1">
      <alignment horizontal="center" vertical="center" wrapText="1"/>
    </xf>
    <xf numFmtId="11" fontId="5" fillId="2" borderId="91" xfId="0" applyNumberFormat="1" applyFont="1" applyFill="1" applyBorder="1" applyAlignment="1">
      <alignment horizontal="center" vertical="center" wrapText="1"/>
    </xf>
    <xf numFmtId="11" fontId="5" fillId="2" borderId="92" xfId="0" applyNumberFormat="1" applyFont="1" applyFill="1" applyBorder="1" applyAlignment="1">
      <alignment horizontal="center" vertical="center" wrapText="1"/>
    </xf>
    <xf numFmtId="11" fontId="5" fillId="2" borderId="58" xfId="0" applyNumberFormat="1" applyFont="1" applyFill="1" applyBorder="1" applyAlignment="1">
      <alignment horizontal="center" vertical="center" wrapText="1"/>
    </xf>
    <xf numFmtId="11" fontId="5" fillId="5" borderId="62" xfId="0" applyNumberFormat="1" applyFont="1" applyFill="1" applyBorder="1" applyAlignment="1">
      <alignment horizontal="center" vertical="center" wrapText="1"/>
    </xf>
    <xf numFmtId="11" fontId="5" fillId="2" borderId="116" xfId="0" applyNumberFormat="1" applyFont="1" applyFill="1" applyBorder="1" applyAlignment="1">
      <alignment horizontal="center" vertical="center" wrapText="1"/>
    </xf>
    <xf numFmtId="11" fontId="5" fillId="2" borderId="81" xfId="0" applyNumberFormat="1" applyFont="1" applyFill="1" applyBorder="1" applyAlignment="1">
      <alignment horizontal="center" vertical="center" wrapText="1"/>
    </xf>
    <xf numFmtId="11" fontId="5" fillId="2" borderId="138" xfId="0" applyNumberFormat="1" applyFont="1" applyFill="1" applyBorder="1" applyAlignment="1">
      <alignment horizontal="center" vertical="center" wrapText="1"/>
    </xf>
    <xf numFmtId="1" fontId="5" fillId="5" borderId="117" xfId="0" applyNumberFormat="1" applyFont="1" applyFill="1" applyBorder="1" applyAlignment="1">
      <alignment horizontal="center" vertical="center" wrapText="1"/>
    </xf>
    <xf numFmtId="1" fontId="5" fillId="5" borderId="76" xfId="0" applyNumberFormat="1" applyFont="1" applyFill="1" applyBorder="1" applyAlignment="1">
      <alignment horizontal="center" vertical="center" wrapText="1"/>
    </xf>
    <xf numFmtId="1" fontId="5" fillId="5" borderId="111" xfId="0" applyNumberFormat="1" applyFont="1" applyFill="1" applyBorder="1" applyAlignment="1">
      <alignment horizontal="center" vertical="center" wrapText="1"/>
    </xf>
    <xf numFmtId="11" fontId="5" fillId="2" borderId="112" xfId="0" applyNumberFormat="1" applyFont="1" applyFill="1" applyBorder="1" applyAlignment="1">
      <alignment horizontal="center" vertical="center" wrapText="1"/>
    </xf>
    <xf numFmtId="11" fontId="5" fillId="2" borderId="52" xfId="0" applyNumberFormat="1" applyFont="1" applyFill="1" applyBorder="1" applyAlignment="1">
      <alignment horizontal="center" vertical="center" wrapText="1"/>
    </xf>
    <xf numFmtId="11" fontId="5" fillId="2" borderId="95" xfId="0" applyNumberFormat="1" applyFont="1" applyFill="1" applyBorder="1" applyAlignment="1">
      <alignment horizontal="center" vertical="center" wrapText="1"/>
    </xf>
    <xf numFmtId="11" fontId="5" fillId="2" borderId="87" xfId="0" applyNumberFormat="1" applyFont="1" applyFill="1" applyBorder="1" applyAlignment="1">
      <alignment horizontal="center" vertical="center" wrapText="1"/>
    </xf>
    <xf numFmtId="1" fontId="5" fillId="5" borderId="94" xfId="0" applyNumberFormat="1" applyFont="1" applyFill="1" applyBorder="1" applyAlignment="1">
      <alignment horizontal="center" vertical="center" wrapText="1"/>
    </xf>
    <xf numFmtId="11" fontId="5" fillId="2" borderId="96" xfId="0" applyNumberFormat="1" applyFont="1" applyFill="1" applyBorder="1" applyAlignment="1">
      <alignment horizontal="center" vertical="center" wrapText="1"/>
    </xf>
    <xf numFmtId="11" fontId="5" fillId="5" borderId="94" xfId="0" applyNumberFormat="1" applyFont="1" applyFill="1" applyBorder="1" applyAlignment="1">
      <alignment horizontal="center" vertical="center" wrapText="1"/>
    </xf>
    <xf numFmtId="11" fontId="5" fillId="2" borderId="57" xfId="0" applyNumberFormat="1" applyFont="1" applyFill="1" applyBorder="1" applyAlignment="1">
      <alignment horizontal="center" vertical="center" wrapText="1"/>
    </xf>
    <xf numFmtId="11" fontId="5" fillId="2" borderId="140" xfId="0" applyNumberFormat="1" applyFont="1" applyFill="1" applyBorder="1" applyAlignment="1">
      <alignment horizontal="center" vertical="center" wrapText="1"/>
    </xf>
    <xf numFmtId="1" fontId="5" fillId="5" borderId="141" xfId="0" applyNumberFormat="1" applyFont="1" applyFill="1" applyBorder="1" applyAlignment="1">
      <alignment horizontal="center" vertical="center" wrapText="1"/>
    </xf>
    <xf numFmtId="11" fontId="5" fillId="2" borderId="139" xfId="0" applyNumberFormat="1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 wrapText="1"/>
    </xf>
    <xf numFmtId="11" fontId="5" fillId="3" borderId="56" xfId="0" applyNumberFormat="1" applyFont="1" applyFill="1" applyBorder="1" applyAlignment="1">
      <alignment horizontal="center" vertical="center" wrapText="1"/>
    </xf>
    <xf numFmtId="1" fontId="5" fillId="5" borderId="133" xfId="0" applyNumberFormat="1" applyFont="1" applyFill="1" applyBorder="1" applyAlignment="1">
      <alignment horizontal="center" vertical="center" wrapText="1"/>
    </xf>
    <xf numFmtId="11" fontId="5" fillId="5" borderId="135" xfId="0" applyNumberFormat="1" applyFont="1" applyFill="1" applyBorder="1" applyAlignment="1">
      <alignment horizontal="center" vertical="center" wrapText="1"/>
    </xf>
    <xf numFmtId="11" fontId="5" fillId="2" borderId="142" xfId="0" applyNumberFormat="1" applyFont="1" applyFill="1" applyBorder="1" applyAlignment="1">
      <alignment horizontal="center" vertical="center" wrapText="1"/>
    </xf>
    <xf numFmtId="11" fontId="5" fillId="3" borderId="117" xfId="0" applyNumberFormat="1" applyFont="1" applyFill="1" applyBorder="1" applyAlignment="1">
      <alignment horizontal="center" vertical="center" wrapText="1"/>
    </xf>
    <xf numFmtId="11" fontId="5" fillId="3" borderId="76" xfId="0" applyNumberFormat="1" applyFont="1" applyFill="1" applyBorder="1" applyAlignment="1">
      <alignment horizontal="center" vertical="center" wrapText="1"/>
    </xf>
    <xf numFmtId="11" fontId="5" fillId="3" borderId="111" xfId="0" applyNumberFormat="1" applyFont="1" applyFill="1" applyBorder="1" applyAlignment="1">
      <alignment horizontal="center" vertical="center" wrapText="1"/>
    </xf>
    <xf numFmtId="11" fontId="5" fillId="2" borderId="115" xfId="0" applyNumberFormat="1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114" xfId="0" applyBorder="1" applyAlignment="1">
      <alignment horizontal="center"/>
    </xf>
    <xf numFmtId="11" fontId="0" fillId="0" borderId="121" xfId="0" applyNumberFormat="1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11" fontId="0" fillId="0" borderId="121" xfId="0" applyNumberFormat="1" applyBorder="1" applyAlignment="1">
      <alignment horizontal="center" vertical="center"/>
    </xf>
    <xf numFmtId="11" fontId="0" fillId="0" borderId="80" xfId="0" applyNumberFormat="1" applyBorder="1" applyAlignment="1">
      <alignment horizontal="center" vertical="center"/>
    </xf>
    <xf numFmtId="0" fontId="0" fillId="0" borderId="1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45" xfId="0" applyNumberFormat="1" applyBorder="1" applyAlignment="1">
      <alignment horizontal="center" vertical="center"/>
    </xf>
    <xf numFmtId="11" fontId="0" fillId="0" borderId="143" xfId="0" applyNumberFormat="1" applyBorder="1" applyAlignment="1">
      <alignment horizontal="center" vertical="center"/>
    </xf>
    <xf numFmtId="11" fontId="0" fillId="0" borderId="144" xfId="0" applyNumberFormat="1" applyBorder="1" applyAlignment="1">
      <alignment horizontal="center" vertical="center"/>
    </xf>
    <xf numFmtId="0" fontId="0" fillId="0" borderId="0" xfId="0" applyBorder="1"/>
    <xf numFmtId="11" fontId="0" fillId="0" borderId="6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148" xfId="0" applyNumberFormat="1" applyBorder="1" applyAlignment="1">
      <alignment horizontal="center" vertical="center"/>
    </xf>
    <xf numFmtId="11" fontId="0" fillId="0" borderId="146" xfId="0" applyNumberFormat="1" applyBorder="1" applyAlignment="1">
      <alignment horizontal="center" vertical="center"/>
    </xf>
    <xf numFmtId="11" fontId="0" fillId="0" borderId="149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150" xfId="0" applyNumberFormat="1" applyBorder="1" applyAlignment="1">
      <alignment horizontal="center" vertical="center"/>
    </xf>
    <xf numFmtId="11" fontId="0" fillId="0" borderId="147" xfId="0" applyNumberFormat="1" applyBorder="1" applyAlignment="1">
      <alignment horizontal="center" vertical="center"/>
    </xf>
    <xf numFmtId="11" fontId="0" fillId="0" borderId="151" xfId="0" applyNumberFormat="1" applyBorder="1" applyAlignment="1">
      <alignment horizontal="center" vertical="center"/>
    </xf>
    <xf numFmtId="11" fontId="0" fillId="0" borderId="15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11" fontId="0" fillId="0" borderId="155" xfId="0" applyNumberFormat="1" applyBorder="1" applyAlignment="1">
      <alignment horizontal="center" vertical="center"/>
    </xf>
    <xf numFmtId="11" fontId="0" fillId="0" borderId="87" xfId="0" applyNumberFormat="1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11" fontId="0" fillId="0" borderId="156" xfId="0" applyNumberFormat="1" applyBorder="1" applyAlignment="1">
      <alignment horizontal="center" vertical="center"/>
    </xf>
    <xf numFmtId="11" fontId="0" fillId="0" borderId="157" xfId="0" applyNumberFormat="1" applyBorder="1" applyAlignment="1">
      <alignment horizontal="center" vertical="center"/>
    </xf>
    <xf numFmtId="11" fontId="0" fillId="0" borderId="158" xfId="0" applyNumberFormat="1" applyBorder="1" applyAlignment="1">
      <alignment horizontal="center" vertical="center"/>
    </xf>
    <xf numFmtId="0" fontId="0" fillId="0" borderId="159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53" xfId="0" applyBorder="1" applyAlignment="1">
      <alignment horizontal="center" vertical="center"/>
    </xf>
    <xf numFmtId="11" fontId="0" fillId="0" borderId="160" xfId="0" applyNumberFormat="1" applyBorder="1" applyAlignment="1">
      <alignment horizontal="center" vertical="center"/>
    </xf>
    <xf numFmtId="11" fontId="0" fillId="0" borderId="161" xfId="0" applyNumberFormat="1" applyBorder="1" applyAlignment="1">
      <alignment horizontal="center" vertical="center"/>
    </xf>
    <xf numFmtId="0" fontId="0" fillId="0" borderId="162" xfId="0" applyBorder="1" applyAlignment="1">
      <alignment horizontal="center" vertical="center"/>
    </xf>
    <xf numFmtId="11" fontId="0" fillId="0" borderId="163" xfId="0" applyNumberFormat="1" applyBorder="1" applyAlignment="1">
      <alignment horizontal="center" vertical="center"/>
    </xf>
    <xf numFmtId="0" fontId="0" fillId="0" borderId="162" xfId="0" applyBorder="1" applyAlignment="1">
      <alignment vertical="center"/>
    </xf>
    <xf numFmtId="0" fontId="0" fillId="0" borderId="162" xfId="0" applyBorder="1" applyAlignment="1">
      <alignment horizontal="center" vertical="center"/>
    </xf>
    <xf numFmtId="0" fontId="0" fillId="0" borderId="159" xfId="0" applyBorder="1" applyAlignment="1">
      <alignment horizontal="center"/>
    </xf>
    <xf numFmtId="11" fontId="0" fillId="0" borderId="164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165" xfId="0" applyNumberFormat="1" applyBorder="1" applyAlignment="1">
      <alignment horizontal="center" vertical="center"/>
    </xf>
    <xf numFmtId="11" fontId="5" fillId="5" borderId="71" xfId="0" applyNumberFormat="1" applyFont="1" applyFill="1" applyBorder="1" applyAlignment="1">
      <alignment horizontal="center" vertical="center" wrapText="1"/>
    </xf>
    <xf numFmtId="11" fontId="5" fillId="5" borderId="69" xfId="0" applyNumberFormat="1" applyFont="1" applyFill="1" applyBorder="1" applyAlignment="1">
      <alignment horizontal="center" vertical="center" wrapText="1"/>
    </xf>
    <xf numFmtId="11" fontId="5" fillId="5" borderId="4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1D59-6437-431F-8242-6A3B1EBEE911}">
  <dimension ref="A1:K49"/>
  <sheetViews>
    <sheetView workbookViewId="0">
      <selection activeCell="E8" sqref="E8"/>
    </sheetView>
  </sheetViews>
  <sheetFormatPr defaultRowHeight="14.4" x14ac:dyDescent="0.3"/>
  <cols>
    <col min="1" max="1" width="4.33203125" customWidth="1"/>
    <col min="2" max="2" width="5.5546875" customWidth="1"/>
    <col min="3" max="3" width="18.5546875" customWidth="1"/>
    <col min="4" max="4" width="13" customWidth="1"/>
    <col min="5" max="6" width="12.77734375" customWidth="1"/>
    <col min="7" max="7" width="14.44140625" bestFit="1" customWidth="1"/>
    <col min="8" max="8" width="12.88671875" customWidth="1"/>
    <col min="9" max="9" width="14.88671875" bestFit="1" customWidth="1"/>
    <col min="10" max="10" width="12.77734375" bestFit="1" customWidth="1"/>
    <col min="11" max="11" width="14.88671875" bestFit="1" customWidth="1"/>
  </cols>
  <sheetData>
    <row r="1" spans="1:11" ht="40.799999999999997" customHeight="1" thickBot="1" x14ac:dyDescent="0.35">
      <c r="A1" s="1">
        <v>44887</v>
      </c>
      <c r="B1" s="498" t="s">
        <v>41</v>
      </c>
      <c r="C1" s="498"/>
      <c r="D1" s="498"/>
      <c r="E1" s="498"/>
      <c r="F1" s="498"/>
      <c r="G1" s="498"/>
      <c r="H1" s="498"/>
      <c r="I1" s="498"/>
      <c r="J1" s="498"/>
      <c r="K1" s="498"/>
    </row>
    <row r="2" spans="1:11" ht="15" thickBot="1" x14ac:dyDescent="0.35">
      <c r="A2" s="1"/>
      <c r="B2" s="2"/>
      <c r="C2" s="499" t="s">
        <v>0</v>
      </c>
      <c r="D2" s="502" t="s">
        <v>1</v>
      </c>
      <c r="E2" s="502"/>
      <c r="F2" s="503"/>
      <c r="G2" s="504" t="s">
        <v>2</v>
      </c>
      <c r="H2" s="502"/>
      <c r="I2" s="502"/>
      <c r="J2" s="503"/>
      <c r="K2" s="3" t="s">
        <v>3</v>
      </c>
    </row>
    <row r="3" spans="1:11" ht="15.6" thickTop="1" thickBot="1" x14ac:dyDescent="0.35">
      <c r="B3" s="2"/>
      <c r="C3" s="500"/>
      <c r="D3" s="505" t="s">
        <v>4</v>
      </c>
      <c r="E3" s="505"/>
      <c r="F3" s="5"/>
      <c r="G3" s="506" t="s">
        <v>4</v>
      </c>
      <c r="H3" s="507"/>
      <c r="I3" s="4"/>
      <c r="J3" s="6"/>
      <c r="K3" s="7"/>
    </row>
    <row r="4" spans="1:11" ht="15.6" thickTop="1" thickBot="1" x14ac:dyDescent="0.35">
      <c r="B4" s="2"/>
      <c r="C4" s="501"/>
      <c r="D4" s="8" t="s">
        <v>5</v>
      </c>
      <c r="E4" s="9" t="s">
        <v>6</v>
      </c>
      <c r="F4" s="10" t="s">
        <v>7</v>
      </c>
      <c r="G4" s="11" t="s">
        <v>8</v>
      </c>
      <c r="H4" s="12" t="s">
        <v>9</v>
      </c>
      <c r="I4" s="8" t="s">
        <v>10</v>
      </c>
      <c r="J4" s="13" t="s">
        <v>11</v>
      </c>
      <c r="K4" s="14" t="s">
        <v>12</v>
      </c>
    </row>
    <row r="5" spans="1:11" ht="15" thickBot="1" x14ac:dyDescent="0.35">
      <c r="B5" s="2"/>
      <c r="C5" s="89" t="s">
        <v>13</v>
      </c>
      <c r="D5" s="15"/>
      <c r="E5" s="16"/>
      <c r="F5" s="17"/>
      <c r="G5" s="18"/>
      <c r="H5" s="16"/>
      <c r="I5" s="18"/>
      <c r="J5" s="19"/>
      <c r="K5" s="20"/>
    </row>
    <row r="6" spans="1:11" ht="15" thickTop="1" x14ac:dyDescent="0.3">
      <c r="A6">
        <v>1</v>
      </c>
      <c r="B6" s="495" t="s">
        <v>5</v>
      </c>
      <c r="C6" s="86" t="s">
        <v>14</v>
      </c>
      <c r="D6" s="21"/>
      <c r="E6" s="94"/>
      <c r="F6" s="22"/>
      <c r="G6" s="23"/>
      <c r="H6" s="96"/>
      <c r="I6" s="23"/>
      <c r="J6" s="24"/>
      <c r="K6" s="25"/>
    </row>
    <row r="7" spans="1:11" x14ac:dyDescent="0.3">
      <c r="A7">
        <v>2</v>
      </c>
      <c r="B7" s="496"/>
      <c r="C7" s="86" t="s">
        <v>15</v>
      </c>
      <c r="D7" s="26"/>
      <c r="E7" s="46"/>
      <c r="F7" s="28"/>
      <c r="G7" s="29"/>
      <c r="H7" s="49"/>
      <c r="I7" s="29"/>
      <c r="J7" s="31"/>
      <c r="K7" s="32"/>
    </row>
    <row r="8" spans="1:11" ht="15" thickBot="1" x14ac:dyDescent="0.35">
      <c r="A8">
        <v>3</v>
      </c>
      <c r="B8" s="497"/>
      <c r="C8" s="88" t="s">
        <v>16</v>
      </c>
      <c r="D8" s="33"/>
      <c r="E8" s="34"/>
      <c r="F8" s="35"/>
      <c r="G8" s="36"/>
      <c r="H8" s="52"/>
      <c r="I8" s="36"/>
      <c r="J8" s="38"/>
      <c r="K8" s="39"/>
    </row>
    <row r="9" spans="1:11" ht="15" thickTop="1" x14ac:dyDescent="0.3">
      <c r="A9">
        <v>4</v>
      </c>
      <c r="B9" s="495" t="s">
        <v>17</v>
      </c>
      <c r="C9" s="86" t="s">
        <v>18</v>
      </c>
      <c r="D9" s="40"/>
      <c r="E9" s="41"/>
      <c r="F9" s="75"/>
      <c r="G9" s="43"/>
      <c r="H9" s="77"/>
      <c r="I9" s="23"/>
      <c r="J9" s="45"/>
      <c r="K9" s="25"/>
    </row>
    <row r="10" spans="1:11" x14ac:dyDescent="0.3">
      <c r="A10">
        <v>5</v>
      </c>
      <c r="B10" s="496"/>
      <c r="C10" s="90" t="s">
        <v>19</v>
      </c>
      <c r="D10" s="26"/>
      <c r="E10" s="95"/>
      <c r="F10" s="399"/>
      <c r="G10" s="48"/>
      <c r="H10" s="49"/>
      <c r="I10" s="29"/>
      <c r="J10" s="31"/>
      <c r="K10" s="32"/>
    </row>
    <row r="11" spans="1:11" ht="15" thickBot="1" x14ac:dyDescent="0.35">
      <c r="A11">
        <v>6</v>
      </c>
      <c r="B11" s="497"/>
      <c r="C11" s="88" t="s">
        <v>20</v>
      </c>
      <c r="D11" s="33"/>
      <c r="E11" s="52"/>
      <c r="F11" s="35"/>
      <c r="G11" s="36"/>
      <c r="H11" s="52"/>
      <c r="I11" s="36"/>
      <c r="J11" s="38"/>
      <c r="K11" s="39"/>
    </row>
    <row r="12" spans="1:11" ht="15" thickTop="1" x14ac:dyDescent="0.3">
      <c r="A12">
        <v>7</v>
      </c>
      <c r="B12" s="495" t="s">
        <v>8</v>
      </c>
      <c r="C12" s="86" t="s">
        <v>21</v>
      </c>
      <c r="D12" s="73"/>
      <c r="E12" s="74"/>
      <c r="F12" s="75"/>
      <c r="G12" s="76"/>
      <c r="H12" s="77"/>
      <c r="I12" s="76"/>
      <c r="J12" s="78"/>
      <c r="K12" s="25"/>
    </row>
    <row r="13" spans="1:11" x14ac:dyDescent="0.3">
      <c r="A13">
        <v>8</v>
      </c>
      <c r="B13" s="496"/>
      <c r="C13" s="91" t="s">
        <v>22</v>
      </c>
      <c r="D13" s="54"/>
      <c r="E13" s="55"/>
      <c r="F13" s="56"/>
      <c r="G13" s="57"/>
      <c r="H13" s="58"/>
      <c r="I13" s="161"/>
      <c r="J13" s="81"/>
      <c r="K13" s="59"/>
    </row>
    <row r="14" spans="1:11" x14ac:dyDescent="0.3">
      <c r="B14" s="496"/>
      <c r="C14" s="91" t="s">
        <v>23</v>
      </c>
      <c r="D14" s="308"/>
      <c r="E14" s="309"/>
      <c r="F14" s="310"/>
      <c r="G14" s="97"/>
      <c r="H14" s="311"/>
      <c r="I14" s="312"/>
      <c r="J14" s="98"/>
      <c r="K14" s="313"/>
    </row>
    <row r="15" spans="1:11" x14ac:dyDescent="0.3">
      <c r="B15" s="496"/>
      <c r="C15" s="91" t="s">
        <v>65</v>
      </c>
      <c r="D15" s="308"/>
      <c r="E15" s="309"/>
      <c r="F15" s="310"/>
      <c r="G15" s="389"/>
      <c r="H15" s="311"/>
      <c r="I15" s="342"/>
      <c r="J15" s="98"/>
      <c r="K15" s="313"/>
    </row>
    <row r="16" spans="1:11" ht="15" thickBot="1" x14ac:dyDescent="0.35">
      <c r="A16">
        <v>9</v>
      </c>
      <c r="B16" s="497"/>
      <c r="C16" s="88" t="s">
        <v>66</v>
      </c>
      <c r="D16" s="60"/>
      <c r="E16" s="61"/>
      <c r="F16" s="62"/>
      <c r="G16" s="390"/>
      <c r="H16" s="63"/>
      <c r="I16" s="343"/>
      <c r="J16" s="64"/>
      <c r="K16" s="65"/>
    </row>
    <row r="17" spans="1:11" ht="15" thickTop="1" x14ac:dyDescent="0.3">
      <c r="A17">
        <v>10</v>
      </c>
      <c r="B17" s="495" t="s">
        <v>24</v>
      </c>
      <c r="C17" s="87" t="s">
        <v>25</v>
      </c>
      <c r="D17" s="66"/>
      <c r="E17" s="27"/>
      <c r="F17" s="28"/>
      <c r="G17" s="67"/>
      <c r="H17" s="30"/>
      <c r="I17" s="67"/>
      <c r="J17" s="68"/>
      <c r="K17" s="32"/>
    </row>
    <row r="18" spans="1:11" x14ac:dyDescent="0.3">
      <c r="B18" s="496"/>
      <c r="C18" s="87" t="s">
        <v>68</v>
      </c>
      <c r="D18" s="301"/>
      <c r="E18" s="302"/>
      <c r="F18" s="303"/>
      <c r="G18" s="304"/>
      <c r="H18" s="305"/>
      <c r="I18" s="304"/>
      <c r="J18" s="306"/>
      <c r="K18" s="307"/>
    </row>
    <row r="19" spans="1:11" x14ac:dyDescent="0.3">
      <c r="B19" s="496"/>
      <c r="C19" s="87" t="s">
        <v>69</v>
      </c>
      <c r="D19" s="301"/>
      <c r="E19" s="302"/>
      <c r="F19" s="303"/>
      <c r="G19" s="391"/>
      <c r="H19" s="305"/>
      <c r="I19" s="344"/>
      <c r="J19" s="306"/>
      <c r="K19" s="307"/>
    </row>
    <row r="20" spans="1:11" x14ac:dyDescent="0.3">
      <c r="B20" s="496"/>
      <c r="C20" s="87" t="s">
        <v>70</v>
      </c>
      <c r="D20" s="301"/>
      <c r="E20" s="302"/>
      <c r="F20" s="303"/>
      <c r="G20" s="391"/>
      <c r="H20" s="305"/>
      <c r="I20" s="344"/>
      <c r="J20" s="306"/>
      <c r="K20" s="307"/>
    </row>
    <row r="21" spans="1:11" ht="15" thickBot="1" x14ac:dyDescent="0.35">
      <c r="A21">
        <v>11</v>
      </c>
      <c r="B21" s="497"/>
      <c r="C21" s="88" t="s">
        <v>71</v>
      </c>
      <c r="D21" s="69"/>
      <c r="E21" s="70"/>
      <c r="F21" s="35"/>
      <c r="G21" s="71"/>
      <c r="H21" s="37"/>
      <c r="I21" s="36"/>
      <c r="J21" s="72"/>
      <c r="K21" s="39"/>
    </row>
    <row r="22" spans="1:11" ht="15" thickTop="1" x14ac:dyDescent="0.3">
      <c r="A22">
        <v>12</v>
      </c>
      <c r="B22" s="495" t="s">
        <v>11</v>
      </c>
      <c r="C22" s="86" t="s">
        <v>27</v>
      </c>
      <c r="D22" s="73"/>
      <c r="E22" s="74"/>
      <c r="F22" s="75"/>
      <c r="G22" s="76"/>
      <c r="H22" s="77"/>
      <c r="I22" s="76"/>
      <c r="J22" s="78"/>
      <c r="K22" s="25"/>
    </row>
    <row r="23" spans="1:11" x14ac:dyDescent="0.3">
      <c r="A23">
        <v>13</v>
      </c>
      <c r="B23" s="496"/>
      <c r="C23" s="91" t="s">
        <v>28</v>
      </c>
      <c r="D23" s="66"/>
      <c r="E23" s="27"/>
      <c r="F23" s="28"/>
      <c r="G23" s="67"/>
      <c r="H23" s="30"/>
      <c r="I23" s="67"/>
      <c r="J23" s="68"/>
      <c r="K23" s="32"/>
    </row>
    <row r="24" spans="1:11" x14ac:dyDescent="0.3">
      <c r="B24" s="496"/>
      <c r="C24" s="91" t="s">
        <v>29</v>
      </c>
      <c r="D24" s="301"/>
      <c r="E24" s="302"/>
      <c r="F24" s="303"/>
      <c r="G24" s="304"/>
      <c r="H24" s="305"/>
      <c r="I24" s="304"/>
      <c r="J24" s="306"/>
      <c r="K24" s="307"/>
    </row>
    <row r="25" spans="1:11" x14ac:dyDescent="0.3">
      <c r="B25" s="496"/>
      <c r="C25" s="91" t="s">
        <v>72</v>
      </c>
      <c r="D25" s="301"/>
      <c r="E25" s="302"/>
      <c r="F25" s="303"/>
      <c r="G25" s="391"/>
      <c r="H25" s="305"/>
      <c r="I25" s="391"/>
      <c r="J25" s="306"/>
      <c r="K25" s="307"/>
    </row>
    <row r="26" spans="1:11" x14ac:dyDescent="0.3">
      <c r="B26" s="496"/>
      <c r="C26" s="91" t="s">
        <v>73</v>
      </c>
      <c r="D26" s="301"/>
      <c r="E26" s="302"/>
      <c r="F26" s="303"/>
      <c r="G26" s="391"/>
      <c r="H26" s="305"/>
      <c r="I26" s="391"/>
      <c r="J26" s="306"/>
      <c r="K26" s="307"/>
    </row>
    <row r="27" spans="1:11" x14ac:dyDescent="0.3">
      <c r="B27" s="496"/>
      <c r="C27" s="91" t="s">
        <v>74</v>
      </c>
      <c r="D27" s="301"/>
      <c r="E27" s="302"/>
      <c r="F27" s="303"/>
      <c r="G27" s="304"/>
      <c r="H27" s="305"/>
      <c r="I27" s="344"/>
      <c r="J27" s="306"/>
      <c r="K27" s="307"/>
    </row>
    <row r="28" spans="1:11" ht="15" thickBot="1" x14ac:dyDescent="0.35">
      <c r="A28">
        <v>14</v>
      </c>
      <c r="B28" s="497"/>
      <c r="C28" s="88" t="s">
        <v>75</v>
      </c>
      <c r="D28" s="69"/>
      <c r="E28" s="70"/>
      <c r="F28" s="35"/>
      <c r="G28" s="392"/>
      <c r="H28" s="37"/>
      <c r="I28" s="36"/>
      <c r="J28" s="72"/>
      <c r="K28" s="39"/>
    </row>
    <row r="29" spans="1:11" ht="15" thickTop="1" x14ac:dyDescent="0.3">
      <c r="A29">
        <v>15</v>
      </c>
      <c r="B29" s="495" t="s">
        <v>12</v>
      </c>
      <c r="C29" s="90" t="s">
        <v>30</v>
      </c>
      <c r="D29" s="73"/>
      <c r="E29" s="74"/>
      <c r="F29" s="42"/>
      <c r="G29" s="23"/>
      <c r="H29" s="77"/>
      <c r="I29" s="23"/>
      <c r="J29" s="45"/>
      <c r="K29" s="79"/>
    </row>
    <row r="30" spans="1:11" x14ac:dyDescent="0.3">
      <c r="A30">
        <v>16</v>
      </c>
      <c r="B30" s="496"/>
      <c r="C30" s="87" t="s">
        <v>31</v>
      </c>
      <c r="D30" s="29"/>
      <c r="E30" s="27"/>
      <c r="F30" s="47"/>
      <c r="G30" s="29"/>
      <c r="H30" s="30"/>
      <c r="I30" s="29"/>
      <c r="J30" s="31"/>
      <c r="K30" s="50"/>
    </row>
    <row r="31" spans="1:11" ht="15" thickBot="1" x14ac:dyDescent="0.35">
      <c r="A31">
        <v>17</v>
      </c>
      <c r="B31" s="497"/>
      <c r="C31" s="88" t="s">
        <v>32</v>
      </c>
      <c r="D31" s="36"/>
      <c r="E31" s="70"/>
      <c r="F31" s="51"/>
      <c r="G31" s="36"/>
      <c r="H31" s="37"/>
      <c r="I31" s="36"/>
      <c r="J31" s="38"/>
      <c r="K31" s="53"/>
    </row>
    <row r="32" spans="1:11" ht="15" thickTop="1" x14ac:dyDescent="0.3">
      <c r="A32">
        <v>18</v>
      </c>
      <c r="B32" s="495" t="s">
        <v>6</v>
      </c>
      <c r="C32" s="86" t="s">
        <v>33</v>
      </c>
      <c r="D32" s="76"/>
      <c r="E32" s="41"/>
      <c r="F32" s="75"/>
      <c r="G32" s="23"/>
      <c r="H32" s="77"/>
      <c r="I32" s="23"/>
      <c r="J32" s="45"/>
      <c r="K32" s="25"/>
    </row>
    <row r="33" spans="1:11" x14ac:dyDescent="0.3">
      <c r="A33">
        <v>19</v>
      </c>
      <c r="B33" s="496"/>
      <c r="C33" s="87" t="s">
        <v>34</v>
      </c>
      <c r="D33" s="67"/>
      <c r="E33" s="46"/>
      <c r="F33" s="28"/>
      <c r="G33" s="29"/>
      <c r="H33" s="49"/>
      <c r="I33" s="29"/>
      <c r="J33" s="31"/>
      <c r="K33" s="32"/>
    </row>
    <row r="34" spans="1:11" ht="15" thickBot="1" x14ac:dyDescent="0.35">
      <c r="A34">
        <v>20</v>
      </c>
      <c r="B34" s="497"/>
      <c r="C34" s="88" t="s">
        <v>35</v>
      </c>
      <c r="D34" s="36"/>
      <c r="E34" s="70"/>
      <c r="F34" s="35"/>
      <c r="G34" s="71"/>
      <c r="H34" s="37"/>
      <c r="I34" s="71"/>
      <c r="J34" s="72"/>
      <c r="K34" s="39"/>
    </row>
    <row r="35" spans="1:11" ht="15" thickTop="1" x14ac:dyDescent="0.3">
      <c r="A35">
        <v>21</v>
      </c>
      <c r="B35" s="495" t="s">
        <v>7</v>
      </c>
      <c r="C35" s="355" t="s">
        <v>36</v>
      </c>
      <c r="D35" s="76"/>
      <c r="E35" s="41"/>
      <c r="F35" s="42"/>
      <c r="G35" s="23"/>
      <c r="H35" s="44"/>
      <c r="I35" s="76"/>
      <c r="J35" s="45"/>
      <c r="K35" s="79"/>
    </row>
    <row r="36" spans="1:11" x14ac:dyDescent="0.3">
      <c r="B36" s="496"/>
      <c r="C36" s="90" t="s">
        <v>37</v>
      </c>
      <c r="D36" s="314"/>
      <c r="E36" s="315"/>
      <c r="F36" s="316"/>
      <c r="G36" s="317"/>
      <c r="H36" s="318"/>
      <c r="I36" s="314"/>
      <c r="J36" s="319"/>
      <c r="K36" s="320"/>
    </row>
    <row r="37" spans="1:11" x14ac:dyDescent="0.3">
      <c r="B37" s="496"/>
      <c r="C37" s="298" t="s">
        <v>79</v>
      </c>
      <c r="D37" s="29"/>
      <c r="E37" s="340"/>
      <c r="F37" s="28"/>
      <c r="G37" s="29"/>
      <c r="H37" s="340"/>
      <c r="I37" s="393"/>
      <c r="J37" s="31"/>
      <c r="K37" s="341"/>
    </row>
    <row r="38" spans="1:11" x14ac:dyDescent="0.3">
      <c r="B38" s="496"/>
      <c r="C38" s="298" t="s">
        <v>76</v>
      </c>
      <c r="D38" s="29"/>
      <c r="E38" s="340"/>
      <c r="F38" s="28"/>
      <c r="G38" s="29"/>
      <c r="H38" s="340"/>
      <c r="I38" s="29"/>
      <c r="J38" s="31"/>
      <c r="K38" s="341"/>
    </row>
    <row r="39" spans="1:11" x14ac:dyDescent="0.3">
      <c r="B39" s="496"/>
      <c r="C39" s="90" t="s">
        <v>77</v>
      </c>
      <c r="D39" s="29"/>
      <c r="E39" s="340"/>
      <c r="F39" s="28"/>
      <c r="G39" s="29"/>
      <c r="H39" s="340"/>
      <c r="I39" s="29"/>
      <c r="J39" s="31"/>
      <c r="K39" s="341"/>
    </row>
    <row r="40" spans="1:11" ht="15" thickBot="1" x14ac:dyDescent="0.35">
      <c r="A40">
        <v>22</v>
      </c>
      <c r="B40" s="497"/>
      <c r="C40" s="92" t="s">
        <v>78</v>
      </c>
      <c r="D40" s="69"/>
      <c r="E40" s="397"/>
      <c r="F40" s="35"/>
      <c r="G40" s="36"/>
      <c r="H40" s="397"/>
      <c r="I40" s="36"/>
      <c r="J40" s="38"/>
      <c r="K40" s="398"/>
    </row>
    <row r="41" spans="1:11" ht="15" thickTop="1" x14ac:dyDescent="0.3">
      <c r="A41">
        <v>23</v>
      </c>
      <c r="B41" s="80"/>
      <c r="C41" s="91" t="s">
        <v>38</v>
      </c>
      <c r="D41" s="325"/>
      <c r="E41" s="337"/>
      <c r="F41" s="334"/>
      <c r="G41" s="321"/>
      <c r="H41" s="337"/>
      <c r="I41" s="321"/>
      <c r="J41" s="322"/>
      <c r="K41" s="326"/>
    </row>
    <row r="42" spans="1:11" x14ac:dyDescent="0.3">
      <c r="A42">
        <v>24</v>
      </c>
      <c r="B42" s="99"/>
      <c r="C42" s="163" t="s">
        <v>43</v>
      </c>
      <c r="D42" s="323"/>
      <c r="E42" s="338"/>
      <c r="F42" s="335"/>
      <c r="G42" s="323"/>
      <c r="H42" s="338"/>
      <c r="I42" s="323"/>
      <c r="J42" s="324"/>
      <c r="K42" s="327"/>
    </row>
    <row r="43" spans="1:11" ht="15" thickBot="1" x14ac:dyDescent="0.35">
      <c r="A43">
        <v>25</v>
      </c>
      <c r="B43" s="328"/>
      <c r="C43" s="329" t="s">
        <v>44</v>
      </c>
      <c r="D43" s="330"/>
      <c r="E43" s="339"/>
      <c r="F43" s="336"/>
      <c r="G43" s="332"/>
      <c r="H43" s="339"/>
      <c r="I43" s="332"/>
      <c r="J43" s="331"/>
      <c r="K43" s="333"/>
    </row>
    <row r="44" spans="1:11" x14ac:dyDescent="0.3">
      <c r="B44" s="2"/>
      <c r="C44" s="2"/>
    </row>
    <row r="45" spans="1:11" x14ac:dyDescent="0.3">
      <c r="B45" s="2"/>
      <c r="C45" s="82"/>
      <c r="D45" s="83" t="s">
        <v>39</v>
      </c>
    </row>
    <row r="46" spans="1:11" ht="28.8" x14ac:dyDescent="0.3">
      <c r="B46" s="2"/>
      <c r="C46" s="84"/>
      <c r="D46" s="85" t="s">
        <v>40</v>
      </c>
    </row>
    <row r="47" spans="1:11" ht="26.4" customHeight="1" x14ac:dyDescent="0.3">
      <c r="C47" s="395"/>
      <c r="D47" s="396" t="s">
        <v>91</v>
      </c>
    </row>
    <row r="48" spans="1:11" x14ac:dyDescent="0.3">
      <c r="D48" s="268"/>
    </row>
    <row r="49" spans="3:3" x14ac:dyDescent="0.3">
      <c r="C49" t="s">
        <v>50</v>
      </c>
    </row>
  </sheetData>
  <mergeCells count="14">
    <mergeCell ref="B35:B40"/>
    <mergeCell ref="B1:K1"/>
    <mergeCell ref="B9:B11"/>
    <mergeCell ref="B12:B16"/>
    <mergeCell ref="B17:B21"/>
    <mergeCell ref="B22:B28"/>
    <mergeCell ref="B29:B31"/>
    <mergeCell ref="B32:B34"/>
    <mergeCell ref="C2:C4"/>
    <mergeCell ref="D2:F2"/>
    <mergeCell ref="G2:J2"/>
    <mergeCell ref="D3:E3"/>
    <mergeCell ref="G3:H3"/>
    <mergeCell ref="B6:B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7E9C-6E39-4515-B205-EFF44026A4AF}">
  <dimension ref="A1:N50"/>
  <sheetViews>
    <sheetView workbookViewId="0">
      <selection activeCell="N25" sqref="N25"/>
    </sheetView>
  </sheetViews>
  <sheetFormatPr defaultRowHeight="14.4" x14ac:dyDescent="0.3"/>
  <cols>
    <col min="1" max="1" width="3.6640625" customWidth="1"/>
    <col min="2" max="2" width="5.5546875" customWidth="1"/>
    <col min="3" max="3" width="18.5546875" customWidth="1"/>
    <col min="4" max="7" width="12.77734375" customWidth="1"/>
    <col min="8" max="8" width="12.88671875" customWidth="1"/>
    <col min="9" max="9" width="12.77734375" customWidth="1"/>
    <col min="10" max="10" width="12.77734375" bestFit="1" customWidth="1"/>
    <col min="11" max="11" width="12.77734375" customWidth="1"/>
    <col min="13" max="13" width="10.109375" customWidth="1"/>
    <col min="14" max="14" width="24.88671875" bestFit="1" customWidth="1"/>
  </cols>
  <sheetData>
    <row r="1" spans="1:14" ht="31.2" customHeight="1" thickBot="1" x14ac:dyDescent="0.35">
      <c r="A1" s="93">
        <v>44887</v>
      </c>
      <c r="B1" s="498" t="s">
        <v>42</v>
      </c>
      <c r="C1" s="498"/>
      <c r="D1" s="498"/>
      <c r="E1" s="498"/>
      <c r="F1" s="498"/>
      <c r="G1" s="498"/>
      <c r="H1" s="498"/>
      <c r="I1" s="498"/>
      <c r="J1" s="498"/>
      <c r="K1" s="498"/>
    </row>
    <row r="2" spans="1:14" ht="15" thickBot="1" x14ac:dyDescent="0.35">
      <c r="B2" s="2"/>
      <c r="C2" s="499" t="s">
        <v>0</v>
      </c>
      <c r="D2" s="502" t="s">
        <v>1</v>
      </c>
      <c r="E2" s="502"/>
      <c r="F2" s="503"/>
      <c r="G2" s="504" t="s">
        <v>2</v>
      </c>
      <c r="H2" s="502"/>
      <c r="I2" s="502"/>
      <c r="J2" s="503"/>
      <c r="K2" s="3" t="s">
        <v>3</v>
      </c>
      <c r="M2" s="508" t="s">
        <v>82</v>
      </c>
      <c r="N2" s="509"/>
    </row>
    <row r="3" spans="1:14" ht="15.6" thickTop="1" thickBot="1" x14ac:dyDescent="0.35">
      <c r="B3" s="2"/>
      <c r="C3" s="500"/>
      <c r="D3" s="505" t="s">
        <v>4</v>
      </c>
      <c r="E3" s="505"/>
      <c r="F3" s="5"/>
      <c r="G3" s="506" t="s">
        <v>4</v>
      </c>
      <c r="H3" s="507"/>
      <c r="I3" s="4"/>
      <c r="J3" s="6"/>
      <c r="K3" s="7"/>
      <c r="M3" s="356" t="s">
        <v>7</v>
      </c>
      <c r="N3" s="357">
        <f>(131/0.025)*10^6</f>
        <v>5240000000</v>
      </c>
    </row>
    <row r="4" spans="1:14" ht="15.6" thickTop="1" thickBot="1" x14ac:dyDescent="0.35">
      <c r="B4" s="2"/>
      <c r="C4" s="501"/>
      <c r="D4" s="8" t="s">
        <v>5</v>
      </c>
      <c r="E4" s="9" t="s">
        <v>6</v>
      </c>
      <c r="F4" s="10" t="s">
        <v>7</v>
      </c>
      <c r="G4" s="11" t="s">
        <v>8</v>
      </c>
      <c r="H4" s="12" t="s">
        <v>9</v>
      </c>
      <c r="I4" s="8" t="s">
        <v>10</v>
      </c>
      <c r="J4" s="13" t="s">
        <v>11</v>
      </c>
      <c r="K4" s="14" t="s">
        <v>12</v>
      </c>
      <c r="M4" s="358" t="s">
        <v>12</v>
      </c>
      <c r="N4" s="359">
        <f>(36/0.025)*10^6</f>
        <v>1440000000</v>
      </c>
    </row>
    <row r="5" spans="1:14" ht="15" thickBot="1" x14ac:dyDescent="0.35">
      <c r="B5" s="2"/>
      <c r="C5" s="89" t="s">
        <v>13</v>
      </c>
      <c r="D5" s="15"/>
      <c r="E5" s="16"/>
      <c r="F5" s="17"/>
      <c r="G5" s="18"/>
      <c r="H5" s="16"/>
      <c r="I5" s="18"/>
      <c r="J5" s="19"/>
      <c r="K5" s="20"/>
      <c r="M5" s="358" t="s">
        <v>11</v>
      </c>
      <c r="N5" s="359">
        <f>(51/0.05)*10^6</f>
        <v>1020000000</v>
      </c>
    </row>
    <row r="6" spans="1:14" ht="15" thickTop="1" x14ac:dyDescent="0.3">
      <c r="B6" s="495" t="s">
        <v>5</v>
      </c>
      <c r="C6" s="86" t="s">
        <v>14</v>
      </c>
      <c r="D6" s="138"/>
      <c r="E6" s="139"/>
      <c r="F6" s="140"/>
      <c r="G6" s="122"/>
      <c r="H6" s="142" t="s">
        <v>101</v>
      </c>
      <c r="I6" s="122"/>
      <c r="J6" s="141"/>
      <c r="K6" s="134"/>
      <c r="M6" s="358" t="s">
        <v>8</v>
      </c>
      <c r="N6" s="359">
        <f>(21/0.025)*10^4</f>
        <v>8400000</v>
      </c>
    </row>
    <row r="7" spans="1:14" x14ac:dyDescent="0.3">
      <c r="B7" s="496"/>
      <c r="C7" s="86" t="s">
        <v>15</v>
      </c>
      <c r="D7" s="154" t="s">
        <v>46</v>
      </c>
      <c r="E7" s="153"/>
      <c r="F7" s="105"/>
      <c r="G7" s="108"/>
      <c r="H7" s="127"/>
      <c r="I7" s="108"/>
      <c r="J7" s="128"/>
      <c r="K7" s="110"/>
      <c r="M7" s="358" t="s">
        <v>6</v>
      </c>
      <c r="N7" s="359">
        <f>(5/0.025)*10^6</f>
        <v>200000000</v>
      </c>
    </row>
    <row r="8" spans="1:14" ht="15" thickBot="1" x14ac:dyDescent="0.35">
      <c r="B8" s="497"/>
      <c r="C8" s="88" t="s">
        <v>16</v>
      </c>
      <c r="D8" s="151" t="s">
        <v>45</v>
      </c>
      <c r="E8" s="149" t="s">
        <v>100</v>
      </c>
      <c r="F8" s="112"/>
      <c r="G8" s="101"/>
      <c r="H8" s="152" t="s">
        <v>100</v>
      </c>
      <c r="I8" s="101"/>
      <c r="J8" s="118"/>
      <c r="K8" s="116"/>
      <c r="M8" s="358" t="s">
        <v>83</v>
      </c>
      <c r="N8" s="359">
        <f>(10/0.025)*10^6</f>
        <v>400000000</v>
      </c>
    </row>
    <row r="9" spans="1:14" ht="15" thickTop="1" x14ac:dyDescent="0.3">
      <c r="B9" s="495" t="s">
        <v>17</v>
      </c>
      <c r="C9" s="86" t="s">
        <v>18</v>
      </c>
      <c r="D9" s="155"/>
      <c r="E9" s="147" t="s">
        <v>47</v>
      </c>
      <c r="F9" s="121"/>
      <c r="G9" s="156"/>
      <c r="H9" s="133"/>
      <c r="I9" s="122"/>
      <c r="J9" s="125"/>
      <c r="K9" s="134"/>
      <c r="M9" s="358" t="s">
        <v>5</v>
      </c>
      <c r="N9" s="359">
        <f>(9/0.025)*10^4</f>
        <v>3600000</v>
      </c>
    </row>
    <row r="10" spans="1:14" ht="15" thickBot="1" x14ac:dyDescent="0.35">
      <c r="B10" s="496"/>
      <c r="C10" s="90" t="s">
        <v>19</v>
      </c>
      <c r="D10" s="157"/>
      <c r="E10" s="148" t="s">
        <v>47</v>
      </c>
      <c r="F10" s="158" t="s">
        <v>48</v>
      </c>
      <c r="G10" s="159"/>
      <c r="H10" s="107"/>
      <c r="I10" s="143" t="s">
        <v>95</v>
      </c>
      <c r="J10" s="128"/>
      <c r="K10" s="110"/>
      <c r="M10" s="360" t="s">
        <v>24</v>
      </c>
      <c r="N10" s="361">
        <f>(3/0.05)*10^6</f>
        <v>60000000</v>
      </c>
    </row>
    <row r="11" spans="1:14" ht="15" thickBot="1" x14ac:dyDescent="0.35">
      <c r="B11" s="497"/>
      <c r="C11" s="88" t="s">
        <v>20</v>
      </c>
      <c r="D11" s="160"/>
      <c r="E11" s="149" t="s">
        <v>49</v>
      </c>
      <c r="F11" s="112"/>
      <c r="G11" s="101"/>
      <c r="H11" s="114"/>
      <c r="I11" s="101"/>
      <c r="J11" s="118"/>
      <c r="K11" s="116"/>
      <c r="M11" s="510" t="s">
        <v>88</v>
      </c>
      <c r="N11" s="510"/>
    </row>
    <row r="12" spans="1:14" ht="15" thickTop="1" x14ac:dyDescent="0.3">
      <c r="B12" s="495" t="s">
        <v>8</v>
      </c>
      <c r="C12" s="86" t="s">
        <v>21</v>
      </c>
      <c r="D12" s="132"/>
      <c r="E12" s="102"/>
      <c r="F12" s="121"/>
      <c r="G12" s="117"/>
      <c r="H12" s="133"/>
      <c r="I12" s="124" t="s">
        <v>45</v>
      </c>
      <c r="J12" s="131"/>
      <c r="K12" s="134"/>
    </row>
    <row r="13" spans="1:14" x14ac:dyDescent="0.3">
      <c r="B13" s="496"/>
      <c r="C13" s="91" t="s">
        <v>22</v>
      </c>
      <c r="D13" s="103"/>
      <c r="E13" s="104"/>
      <c r="F13" s="105"/>
      <c r="G13" s="143" t="s">
        <v>45</v>
      </c>
      <c r="H13" s="107"/>
      <c r="I13" s="143" t="s">
        <v>45</v>
      </c>
      <c r="J13" s="109"/>
      <c r="K13" s="110"/>
    </row>
    <row r="14" spans="1:14" ht="15" thickBot="1" x14ac:dyDescent="0.35">
      <c r="B14" s="496"/>
      <c r="C14" s="88" t="s">
        <v>23</v>
      </c>
      <c r="D14" s="111"/>
      <c r="E14" s="100"/>
      <c r="F14" s="112"/>
      <c r="G14" s="113"/>
      <c r="H14" s="114"/>
      <c r="I14" s="101"/>
      <c r="J14" s="135"/>
      <c r="K14" s="116"/>
    </row>
    <row r="15" spans="1:14" ht="15" thickTop="1" x14ac:dyDescent="0.3">
      <c r="B15" s="496"/>
      <c r="C15" s="91" t="s">
        <v>65</v>
      </c>
      <c r="D15" s="345"/>
      <c r="E15" s="346"/>
      <c r="F15" s="347"/>
      <c r="G15" s="351" t="s">
        <v>84</v>
      </c>
      <c r="H15" s="348"/>
      <c r="I15" s="351" t="s">
        <v>85</v>
      </c>
      <c r="J15" s="362" t="s">
        <v>47</v>
      </c>
      <c r="K15" s="350"/>
    </row>
    <row r="16" spans="1:14" ht="15" thickBot="1" x14ac:dyDescent="0.35">
      <c r="B16" s="497"/>
      <c r="C16" s="88" t="s">
        <v>66</v>
      </c>
      <c r="D16" s="111"/>
      <c r="E16" s="100"/>
      <c r="F16" s="112"/>
      <c r="G16" s="113"/>
      <c r="H16" s="114"/>
      <c r="I16" s="146" t="s">
        <v>85</v>
      </c>
      <c r="J16" s="363" t="s">
        <v>45</v>
      </c>
      <c r="K16" s="116"/>
    </row>
    <row r="17" spans="2:11" ht="15" thickTop="1" x14ac:dyDescent="0.3">
      <c r="B17" s="495" t="s">
        <v>24</v>
      </c>
      <c r="C17" s="87" t="s">
        <v>25</v>
      </c>
      <c r="D17" s="103"/>
      <c r="E17" s="104"/>
      <c r="F17" s="105"/>
      <c r="G17" s="106"/>
      <c r="H17" s="107"/>
      <c r="I17" s="108"/>
      <c r="J17" s="109"/>
      <c r="K17" s="110"/>
    </row>
    <row r="18" spans="2:11" x14ac:dyDescent="0.3">
      <c r="B18" s="496"/>
      <c r="C18" s="91" t="s">
        <v>26</v>
      </c>
      <c r="D18" s="345"/>
      <c r="E18" s="346"/>
      <c r="F18" s="347"/>
      <c r="G18" s="120"/>
      <c r="H18" s="348"/>
      <c r="I18" s="349"/>
      <c r="J18" s="119"/>
      <c r="K18" s="350"/>
    </row>
    <row r="19" spans="2:11" x14ac:dyDescent="0.3">
      <c r="B19" s="496"/>
      <c r="C19" s="91" t="s">
        <v>80</v>
      </c>
      <c r="D19" s="345"/>
      <c r="E19" s="346"/>
      <c r="F19" s="347"/>
      <c r="G19" s="351" t="s">
        <v>45</v>
      </c>
      <c r="H19" s="348"/>
      <c r="I19" s="351" t="s">
        <v>99</v>
      </c>
      <c r="J19" s="119"/>
      <c r="K19" s="350"/>
    </row>
    <row r="20" spans="2:11" x14ac:dyDescent="0.3">
      <c r="B20" s="496"/>
      <c r="C20" s="91" t="s">
        <v>81</v>
      </c>
      <c r="D20" s="345"/>
      <c r="E20" s="346"/>
      <c r="F20" s="347"/>
      <c r="G20" s="120"/>
      <c r="H20" s="348"/>
      <c r="I20" s="351" t="s">
        <v>98</v>
      </c>
      <c r="J20" s="119"/>
      <c r="K20" s="350"/>
    </row>
    <row r="21" spans="2:11" ht="15" thickBot="1" x14ac:dyDescent="0.35">
      <c r="B21" s="497"/>
      <c r="C21" s="88" t="s">
        <v>71</v>
      </c>
      <c r="D21" s="111"/>
      <c r="E21" s="100"/>
      <c r="F21" s="112"/>
      <c r="G21" s="146" t="s">
        <v>45</v>
      </c>
      <c r="H21" s="114"/>
      <c r="I21" s="146" t="s">
        <v>97</v>
      </c>
      <c r="J21" s="115"/>
      <c r="K21" s="116"/>
    </row>
    <row r="22" spans="2:11" ht="15" thickTop="1" x14ac:dyDescent="0.3">
      <c r="B22" s="495" t="s">
        <v>11</v>
      </c>
      <c r="C22" s="86" t="s">
        <v>27</v>
      </c>
      <c r="D22" s="132"/>
      <c r="E22" s="102"/>
      <c r="F22" s="121"/>
      <c r="G22" s="117"/>
      <c r="H22" s="133"/>
      <c r="I22" s="122"/>
      <c r="J22" s="131"/>
      <c r="K22" s="134"/>
    </row>
    <row r="23" spans="2:11" x14ac:dyDescent="0.3">
      <c r="B23" s="496"/>
      <c r="C23" s="91" t="s">
        <v>28</v>
      </c>
      <c r="D23" s="103"/>
      <c r="E23" s="104"/>
      <c r="F23" s="105"/>
      <c r="G23" s="106"/>
      <c r="H23" s="107"/>
      <c r="I23" s="108"/>
      <c r="J23" s="109"/>
      <c r="K23" s="110"/>
    </row>
    <row r="24" spans="2:11" ht="15" thickBot="1" x14ac:dyDescent="0.35">
      <c r="B24" s="496"/>
      <c r="C24" s="88" t="s">
        <v>29</v>
      </c>
      <c r="D24" s="111"/>
      <c r="E24" s="100"/>
      <c r="F24" s="112"/>
      <c r="G24" s="146" t="s">
        <v>96</v>
      </c>
      <c r="H24" s="114"/>
      <c r="I24" s="101"/>
      <c r="J24" s="115"/>
      <c r="K24" s="116"/>
    </row>
    <row r="25" spans="2:11" ht="15" thickTop="1" x14ac:dyDescent="0.3">
      <c r="B25" s="496"/>
      <c r="C25" s="91" t="s">
        <v>72</v>
      </c>
      <c r="D25" s="345"/>
      <c r="E25" s="346"/>
      <c r="F25" s="347"/>
      <c r="G25" s="351" t="s">
        <v>45</v>
      </c>
      <c r="H25" s="348"/>
      <c r="I25" s="351" t="s">
        <v>89</v>
      </c>
      <c r="J25" s="119"/>
      <c r="K25" s="350"/>
    </row>
    <row r="26" spans="2:11" x14ac:dyDescent="0.3">
      <c r="B26" s="496"/>
      <c r="C26" s="91" t="s">
        <v>73</v>
      </c>
      <c r="D26" s="345"/>
      <c r="E26" s="346"/>
      <c r="F26" s="347"/>
      <c r="G26" s="120"/>
      <c r="H26" s="348"/>
      <c r="I26" s="351" t="s">
        <v>90</v>
      </c>
      <c r="J26" s="119"/>
      <c r="K26" s="350"/>
    </row>
    <row r="27" spans="2:11" x14ac:dyDescent="0.3">
      <c r="B27" s="496"/>
      <c r="C27" s="91" t="s">
        <v>74</v>
      </c>
      <c r="D27" s="345"/>
      <c r="E27" s="346"/>
      <c r="F27" s="347"/>
      <c r="G27" s="351" t="s">
        <v>45</v>
      </c>
      <c r="H27" s="348"/>
      <c r="I27" s="351" t="s">
        <v>89</v>
      </c>
      <c r="J27" s="119"/>
      <c r="K27" s="350"/>
    </row>
    <row r="28" spans="2:11" ht="15" thickBot="1" x14ac:dyDescent="0.35">
      <c r="B28" s="497"/>
      <c r="C28" s="88" t="s">
        <v>75</v>
      </c>
      <c r="D28" s="111"/>
      <c r="E28" s="100"/>
      <c r="F28" s="112"/>
      <c r="G28" s="113"/>
      <c r="H28" s="114"/>
      <c r="I28" s="146" t="s">
        <v>98</v>
      </c>
      <c r="J28" s="115"/>
      <c r="K28" s="116"/>
    </row>
    <row r="29" spans="2:11" ht="15" thickTop="1" x14ac:dyDescent="0.3">
      <c r="B29" s="495" t="s">
        <v>12</v>
      </c>
      <c r="C29" s="90" t="s">
        <v>30</v>
      </c>
      <c r="D29" s="132"/>
      <c r="E29" s="102"/>
      <c r="F29" s="137"/>
      <c r="G29" s="122"/>
      <c r="H29" s="133"/>
      <c r="I29" s="122"/>
      <c r="J29" s="125"/>
      <c r="K29" s="144" t="s">
        <v>93</v>
      </c>
    </row>
    <row r="30" spans="2:11" x14ac:dyDescent="0.3">
      <c r="B30" s="496"/>
      <c r="C30" s="87" t="s">
        <v>31</v>
      </c>
      <c r="D30" s="108"/>
      <c r="E30" s="104"/>
      <c r="F30" s="105"/>
      <c r="G30" s="108"/>
      <c r="H30" s="107"/>
      <c r="I30" s="108"/>
      <c r="J30" s="128"/>
      <c r="K30" s="129"/>
    </row>
    <row r="31" spans="2:11" ht="15" thickBot="1" x14ac:dyDescent="0.35">
      <c r="B31" s="497"/>
      <c r="C31" s="88" t="s">
        <v>32</v>
      </c>
      <c r="D31" s="101"/>
      <c r="E31" s="100"/>
      <c r="F31" s="136"/>
      <c r="G31" s="101"/>
      <c r="H31" s="114"/>
      <c r="I31" s="101"/>
      <c r="J31" s="118"/>
      <c r="K31" s="145" t="s">
        <v>84</v>
      </c>
    </row>
    <row r="32" spans="2:11" ht="15" thickTop="1" x14ac:dyDescent="0.3">
      <c r="B32" s="495" t="s">
        <v>6</v>
      </c>
      <c r="C32" s="86" t="s">
        <v>33</v>
      </c>
      <c r="D32" s="117"/>
      <c r="E32" s="482"/>
      <c r="F32" s="137"/>
      <c r="G32" s="122"/>
      <c r="H32" s="123"/>
      <c r="I32" s="122"/>
      <c r="J32" s="125"/>
      <c r="K32" s="126"/>
    </row>
    <row r="33" spans="1:12" x14ac:dyDescent="0.3">
      <c r="B33" s="496"/>
      <c r="C33" s="87" t="s">
        <v>34</v>
      </c>
      <c r="D33" s="106"/>
      <c r="E33" s="153"/>
      <c r="F33" s="486"/>
      <c r="G33" s="108"/>
      <c r="H33" s="127"/>
      <c r="I33" s="108"/>
      <c r="J33" s="128"/>
      <c r="K33" s="129"/>
    </row>
    <row r="34" spans="1:12" ht="15" thickBot="1" x14ac:dyDescent="0.35">
      <c r="B34" s="497"/>
      <c r="C34" s="88" t="s">
        <v>35</v>
      </c>
      <c r="D34" s="130"/>
      <c r="E34" s="100"/>
      <c r="F34" s="112"/>
      <c r="G34" s="146" t="s">
        <v>47</v>
      </c>
      <c r="H34" s="114"/>
      <c r="I34" s="101"/>
      <c r="J34" s="115"/>
      <c r="K34" s="116"/>
    </row>
    <row r="35" spans="1:12" ht="15" thickTop="1" x14ac:dyDescent="0.3">
      <c r="B35" s="495" t="s">
        <v>7</v>
      </c>
      <c r="C35" s="90" t="s">
        <v>36</v>
      </c>
      <c r="D35" s="117"/>
      <c r="E35" s="482"/>
      <c r="F35" s="121"/>
      <c r="G35" s="122"/>
      <c r="H35" s="123"/>
      <c r="I35" s="122"/>
      <c r="J35" s="125"/>
      <c r="K35" s="126"/>
    </row>
    <row r="36" spans="1:12" ht="15" thickBot="1" x14ac:dyDescent="0.35">
      <c r="B36" s="496"/>
      <c r="C36" s="92" t="s">
        <v>37</v>
      </c>
      <c r="D36" s="113"/>
      <c r="E36" s="483"/>
      <c r="F36" s="112"/>
      <c r="G36" s="101"/>
      <c r="H36" s="484"/>
      <c r="I36" s="101"/>
      <c r="J36" s="118"/>
      <c r="K36" s="485"/>
    </row>
    <row r="37" spans="1:12" ht="15" thickTop="1" x14ac:dyDescent="0.3">
      <c r="B37" s="496"/>
      <c r="C37" s="355" t="s">
        <v>79</v>
      </c>
      <c r="D37" s="366"/>
      <c r="E37" s="367"/>
      <c r="F37" s="364"/>
      <c r="G37" s="353"/>
      <c r="H37" s="368"/>
      <c r="I37" s="369"/>
      <c r="J37" s="370"/>
      <c r="K37" s="365"/>
    </row>
    <row r="38" spans="1:12" ht="20.399999999999999" x14ac:dyDescent="0.3">
      <c r="B38" s="496"/>
      <c r="C38" s="298" t="s">
        <v>76</v>
      </c>
      <c r="D38" s="103"/>
      <c r="E38" s="371"/>
      <c r="F38" s="352"/>
      <c r="G38" s="372"/>
      <c r="H38" s="107"/>
      <c r="I38" s="373" t="s">
        <v>86</v>
      </c>
      <c r="J38" s="128"/>
      <c r="K38" s="374" t="s">
        <v>47</v>
      </c>
    </row>
    <row r="39" spans="1:12" x14ac:dyDescent="0.3">
      <c r="B39" s="496"/>
      <c r="C39" s="90" t="s">
        <v>77</v>
      </c>
      <c r="D39" s="353"/>
      <c r="E39" s="107"/>
      <c r="F39" s="375"/>
      <c r="G39" s="376"/>
      <c r="H39" s="368"/>
      <c r="I39" s="377"/>
      <c r="J39" s="354"/>
      <c r="K39" s="378"/>
    </row>
    <row r="40" spans="1:12" ht="15" thickBot="1" x14ac:dyDescent="0.35">
      <c r="B40" s="497"/>
      <c r="C40" s="92" t="s">
        <v>78</v>
      </c>
      <c r="D40" s="101"/>
      <c r="E40" s="100"/>
      <c r="F40" s="379"/>
      <c r="G40" s="101"/>
      <c r="H40" s="114"/>
      <c r="I40" s="101"/>
      <c r="J40" s="118"/>
      <c r="K40" s="145" t="s">
        <v>47</v>
      </c>
    </row>
    <row r="41" spans="1:12" ht="15" thickTop="1" x14ac:dyDescent="0.3">
      <c r="B41" s="80"/>
      <c r="C41" s="406" t="s">
        <v>38</v>
      </c>
      <c r="D41" s="349"/>
      <c r="E41" s="402"/>
      <c r="F41" s="347"/>
      <c r="G41" s="120"/>
      <c r="H41" s="402"/>
      <c r="I41" s="349"/>
      <c r="J41" s="119"/>
      <c r="K41" s="150" t="s">
        <v>94</v>
      </c>
    </row>
    <row r="42" spans="1:12" x14ac:dyDescent="0.3">
      <c r="A42" s="388"/>
      <c r="B42" s="403"/>
      <c r="C42" s="298" t="s">
        <v>44</v>
      </c>
      <c r="D42" s="108"/>
      <c r="E42" s="107"/>
      <c r="F42" s="401"/>
      <c r="G42" s="400"/>
      <c r="H42" s="107"/>
      <c r="I42" s="108"/>
      <c r="J42" s="109"/>
      <c r="K42" s="374" t="s">
        <v>94</v>
      </c>
    </row>
    <row r="43" spans="1:12" ht="15" thickBot="1" x14ac:dyDescent="0.35">
      <c r="A43" s="388"/>
      <c r="B43" s="404"/>
      <c r="C43" s="407" t="s">
        <v>43</v>
      </c>
      <c r="D43" s="349"/>
      <c r="E43" s="408"/>
      <c r="F43" s="409"/>
      <c r="G43" s="410"/>
      <c r="H43" s="408"/>
      <c r="I43" s="411"/>
      <c r="J43" s="412"/>
      <c r="K43" s="409"/>
      <c r="L43" s="413"/>
    </row>
    <row r="44" spans="1:12" ht="15" thickTop="1" x14ac:dyDescent="0.3">
      <c r="B44" s="2"/>
      <c r="D44" s="405"/>
    </row>
    <row r="45" spans="1:12" x14ac:dyDescent="0.3">
      <c r="B45" s="2"/>
      <c r="C45" s="82"/>
      <c r="D45" s="83" t="s">
        <v>39</v>
      </c>
    </row>
    <row r="46" spans="1:12" ht="28.8" x14ac:dyDescent="0.3">
      <c r="B46" s="2"/>
      <c r="C46" s="84"/>
      <c r="D46" s="85" t="s">
        <v>40</v>
      </c>
    </row>
    <row r="47" spans="1:12" ht="28.8" x14ac:dyDescent="0.3">
      <c r="B47" s="415"/>
      <c r="C47" s="394"/>
      <c r="D47" s="414" t="s">
        <v>92</v>
      </c>
    </row>
    <row r="50" spans="3:3" x14ac:dyDescent="0.3">
      <c r="C50" t="s">
        <v>87</v>
      </c>
    </row>
  </sheetData>
  <mergeCells count="16">
    <mergeCell ref="B32:B34"/>
    <mergeCell ref="B35:B40"/>
    <mergeCell ref="B6:B8"/>
    <mergeCell ref="B9:B11"/>
    <mergeCell ref="B12:B16"/>
    <mergeCell ref="B17:B21"/>
    <mergeCell ref="B22:B28"/>
    <mergeCell ref="B29:B31"/>
    <mergeCell ref="M2:N2"/>
    <mergeCell ref="M11:N11"/>
    <mergeCell ref="B1:K1"/>
    <mergeCell ref="C2:C4"/>
    <mergeCell ref="D2:F2"/>
    <mergeCell ref="G2:J2"/>
    <mergeCell ref="D3:E3"/>
    <mergeCell ref="G3:H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8036-BB2C-41A7-A476-7F975A1D64C2}">
  <sheetPr>
    <pageSetUpPr fitToPage="1"/>
  </sheetPr>
  <dimension ref="A1:O41"/>
  <sheetViews>
    <sheetView tabSelected="1" zoomScale="80" zoomScaleNormal="80" workbookViewId="0">
      <selection activeCell="N29" sqref="N29"/>
    </sheetView>
  </sheetViews>
  <sheetFormatPr defaultRowHeight="14.4" x14ac:dyDescent="0.3"/>
  <cols>
    <col min="1" max="1" width="4.21875" customWidth="1"/>
    <col min="2" max="2" width="18.5546875" customWidth="1"/>
    <col min="3" max="6" width="12.77734375" customWidth="1"/>
    <col min="7" max="7" width="12.88671875" customWidth="1"/>
    <col min="8" max="8" width="12.77734375" customWidth="1"/>
    <col min="9" max="9" width="12.77734375" bestFit="1" customWidth="1"/>
    <col min="10" max="10" width="12.77734375" customWidth="1"/>
    <col min="11" max="11" width="11.5546875" customWidth="1"/>
    <col min="12" max="12" width="10.109375" style="164" customWidth="1"/>
    <col min="13" max="13" width="24.88671875" bestFit="1" customWidth="1"/>
    <col min="14" max="15" width="11" bestFit="1" customWidth="1"/>
  </cols>
  <sheetData>
    <row r="1" spans="1:15" ht="15" thickBot="1" x14ac:dyDescent="0.35">
      <c r="B1" t="s">
        <v>64</v>
      </c>
      <c r="C1" s="511" t="s">
        <v>51</v>
      </c>
      <c r="D1" s="511"/>
      <c r="E1" s="511"/>
      <c r="F1" s="511"/>
      <c r="G1" s="511"/>
      <c r="H1" s="511"/>
      <c r="I1" s="511"/>
      <c r="J1" s="511"/>
      <c r="N1" s="513" t="s">
        <v>105</v>
      </c>
      <c r="O1" s="513"/>
    </row>
    <row r="2" spans="1:15" ht="15" customHeight="1" thickBot="1" x14ac:dyDescent="0.35">
      <c r="B2" s="499" t="s">
        <v>0</v>
      </c>
      <c r="C2" s="502" t="s">
        <v>1</v>
      </c>
      <c r="D2" s="502"/>
      <c r="E2" s="503"/>
      <c r="F2" s="504" t="s">
        <v>2</v>
      </c>
      <c r="G2" s="502"/>
      <c r="H2" s="502"/>
      <c r="I2" s="503"/>
      <c r="J2" s="3" t="s">
        <v>3</v>
      </c>
      <c r="L2" s="508" t="s">
        <v>82</v>
      </c>
      <c r="M2" s="509"/>
      <c r="N2" s="164" t="s">
        <v>103</v>
      </c>
      <c r="O2" s="164" t="s">
        <v>104</v>
      </c>
    </row>
    <row r="3" spans="1:15" ht="15.6" thickTop="1" thickBot="1" x14ac:dyDescent="0.35">
      <c r="B3" s="500"/>
      <c r="C3" s="505" t="s">
        <v>4</v>
      </c>
      <c r="D3" s="505"/>
      <c r="E3" s="5"/>
      <c r="F3" s="506" t="s">
        <v>4</v>
      </c>
      <c r="G3" s="507"/>
      <c r="H3" s="4"/>
      <c r="I3" s="6"/>
      <c r="J3" s="7"/>
      <c r="L3" s="356" t="s">
        <v>7</v>
      </c>
      <c r="M3" s="357">
        <f>(131/0.025)*10^6</f>
        <v>5240000000</v>
      </c>
    </row>
    <row r="4" spans="1:15" ht="15.6" thickTop="1" thickBot="1" x14ac:dyDescent="0.35">
      <c r="B4" s="501"/>
      <c r="C4" s="8" t="s">
        <v>5</v>
      </c>
      <c r="D4" s="9" t="s">
        <v>6</v>
      </c>
      <c r="E4" s="10" t="s">
        <v>7</v>
      </c>
      <c r="F4" s="11" t="s">
        <v>8</v>
      </c>
      <c r="G4" s="12" t="s">
        <v>9</v>
      </c>
      <c r="H4" s="8" t="s">
        <v>10</v>
      </c>
      <c r="I4" s="13" t="s">
        <v>11</v>
      </c>
      <c r="J4" s="14" t="s">
        <v>12</v>
      </c>
      <c r="L4" s="358" t="s">
        <v>12</v>
      </c>
      <c r="M4" s="359">
        <f>(36/0.025)*10^6</f>
        <v>1440000000</v>
      </c>
    </row>
    <row r="5" spans="1:15" ht="28.8" customHeight="1" thickBot="1" x14ac:dyDescent="0.35">
      <c r="B5" s="89" t="s">
        <v>13</v>
      </c>
      <c r="C5" s="175" t="s">
        <v>52</v>
      </c>
      <c r="D5" s="176" t="s">
        <v>53</v>
      </c>
      <c r="E5" s="177" t="s">
        <v>54</v>
      </c>
      <c r="F5" s="178" t="s">
        <v>55</v>
      </c>
      <c r="G5" s="176" t="s">
        <v>53</v>
      </c>
      <c r="H5" s="178" t="s">
        <v>54</v>
      </c>
      <c r="I5" s="179" t="s">
        <v>54</v>
      </c>
      <c r="J5" s="180" t="s">
        <v>54</v>
      </c>
      <c r="L5" s="358" t="s">
        <v>11</v>
      </c>
      <c r="M5" s="359">
        <f>(51/0.05)*10^6</f>
        <v>1020000000</v>
      </c>
      <c r="N5" s="458">
        <f>(2/0.05)*10^8</f>
        <v>4000000000</v>
      </c>
      <c r="O5" s="458">
        <f>(130/0.05)*10^6</f>
        <v>2600000000</v>
      </c>
    </row>
    <row r="6" spans="1:15" ht="20.399999999999999" customHeight="1" x14ac:dyDescent="0.3">
      <c r="A6" s="388">
        <v>1</v>
      </c>
      <c r="B6" s="86" t="s">
        <v>14</v>
      </c>
      <c r="C6" s="446">
        <f>(3/0.01)</f>
        <v>300</v>
      </c>
      <c r="D6" s="190"/>
      <c r="E6" s="213" t="s">
        <v>62</v>
      </c>
      <c r="F6" s="186" t="s">
        <v>62</v>
      </c>
      <c r="G6" s="191">
        <f>(230/0.01)</f>
        <v>23000</v>
      </c>
      <c r="H6" s="186" t="s">
        <v>52</v>
      </c>
      <c r="I6" s="214" t="s">
        <v>62</v>
      </c>
      <c r="J6" s="215" t="s">
        <v>62</v>
      </c>
      <c r="L6" s="358" t="s">
        <v>8</v>
      </c>
      <c r="M6" s="359">
        <f>(21/0.025)*10^4</f>
        <v>8400000</v>
      </c>
    </row>
    <row r="7" spans="1:15" ht="20.399999999999999" customHeight="1" x14ac:dyDescent="0.3">
      <c r="A7" s="388">
        <v>2</v>
      </c>
      <c r="B7" s="86" t="s">
        <v>15</v>
      </c>
      <c r="C7" s="442">
        <f>1/0.01</f>
        <v>100</v>
      </c>
      <c r="D7" s="434">
        <f>2/0.01</f>
        <v>200</v>
      </c>
      <c r="E7" s="204" t="s">
        <v>62</v>
      </c>
      <c r="F7" s="170">
        <f>380/0.01</f>
        <v>38000</v>
      </c>
      <c r="G7" s="189" t="s">
        <v>56</v>
      </c>
      <c r="H7" s="211" t="s">
        <v>52</v>
      </c>
      <c r="I7" s="212" t="s">
        <v>62</v>
      </c>
      <c r="J7" s="205" t="s">
        <v>63</v>
      </c>
      <c r="L7" s="358" t="s">
        <v>6</v>
      </c>
      <c r="M7" s="359">
        <f>(5/0.025)*10^6</f>
        <v>200000000</v>
      </c>
    </row>
    <row r="8" spans="1:15" ht="20.399999999999999" customHeight="1" thickBot="1" x14ac:dyDescent="0.35">
      <c r="A8" s="388">
        <v>3</v>
      </c>
      <c r="B8" s="88" t="s">
        <v>16</v>
      </c>
      <c r="C8" s="206" t="s">
        <v>52</v>
      </c>
      <c r="D8" s="208" t="s">
        <v>52</v>
      </c>
      <c r="E8" s="207" t="s">
        <v>62</v>
      </c>
      <c r="F8" s="165" t="s">
        <v>52</v>
      </c>
      <c r="G8" s="209" t="s">
        <v>52</v>
      </c>
      <c r="H8" s="165" t="s">
        <v>62</v>
      </c>
      <c r="I8" s="166" t="s">
        <v>62</v>
      </c>
      <c r="J8" s="210" t="s">
        <v>62</v>
      </c>
      <c r="L8" s="358" t="s">
        <v>83</v>
      </c>
      <c r="M8" s="359">
        <f>(10/0.025)*10^6</f>
        <v>400000000</v>
      </c>
    </row>
    <row r="9" spans="1:15" ht="24" customHeight="1" thickTop="1" x14ac:dyDescent="0.3">
      <c r="A9" s="388">
        <v>4</v>
      </c>
      <c r="B9" s="86" t="s">
        <v>18</v>
      </c>
      <c r="C9" s="299"/>
      <c r="D9" s="192" t="s">
        <v>60</v>
      </c>
      <c r="E9" s="300"/>
      <c r="F9" s="171">
        <f>836/0.01</f>
        <v>83600</v>
      </c>
      <c r="G9" s="193" t="s">
        <v>55</v>
      </c>
      <c r="H9" s="171">
        <v>1960000</v>
      </c>
      <c r="I9" s="187" t="s">
        <v>62</v>
      </c>
      <c r="J9" s="185"/>
      <c r="L9" s="358" t="s">
        <v>5</v>
      </c>
      <c r="M9" s="359">
        <f>(9/0.025)*10^4</f>
        <v>3600000</v>
      </c>
    </row>
    <row r="10" spans="1:15" ht="20.399999999999999" customHeight="1" thickBot="1" x14ac:dyDescent="0.35">
      <c r="A10" s="388">
        <v>5</v>
      </c>
      <c r="B10" s="90" t="s">
        <v>19</v>
      </c>
      <c r="C10" s="217"/>
      <c r="D10" s="216"/>
      <c r="E10" s="218"/>
      <c r="F10" s="170">
        <f>251/0.01</f>
        <v>25100</v>
      </c>
      <c r="G10" s="199"/>
      <c r="H10" s="170">
        <v>2200000</v>
      </c>
      <c r="I10" s="212" t="s">
        <v>52</v>
      </c>
      <c r="J10" s="205" t="s">
        <v>62</v>
      </c>
      <c r="L10" s="360" t="s">
        <v>24</v>
      </c>
      <c r="M10" s="361">
        <f>(3/0.05)*10^6</f>
        <v>60000000</v>
      </c>
    </row>
    <row r="11" spans="1:15" ht="20.399999999999999" customHeight="1" thickBot="1" x14ac:dyDescent="0.35">
      <c r="A11" s="388">
        <v>6</v>
      </c>
      <c r="B11" s="88" t="s">
        <v>20</v>
      </c>
      <c r="C11" s="206" t="s">
        <v>62</v>
      </c>
      <c r="D11" s="445">
        <f>(1/0.01)</f>
        <v>100</v>
      </c>
      <c r="E11" s="207" t="s">
        <v>62</v>
      </c>
      <c r="F11" s="433">
        <f>65/0.01</f>
        <v>6500</v>
      </c>
      <c r="G11" s="167"/>
      <c r="H11" s="165" t="s">
        <v>60</v>
      </c>
      <c r="I11" s="166" t="s">
        <v>62</v>
      </c>
      <c r="J11" s="200"/>
    </row>
    <row r="12" spans="1:15" ht="20.399999999999999" customHeight="1" thickTop="1" x14ac:dyDescent="0.3">
      <c r="A12" s="388">
        <v>7</v>
      </c>
      <c r="B12" s="86" t="s">
        <v>21</v>
      </c>
      <c r="C12" s="220">
        <v>1269000</v>
      </c>
      <c r="D12" s="192" t="s">
        <v>60</v>
      </c>
      <c r="E12" s="219" t="s">
        <v>62</v>
      </c>
      <c r="F12" s="436">
        <f>(15/0.01)</f>
        <v>1500</v>
      </c>
      <c r="G12" s="193" t="s">
        <v>62</v>
      </c>
      <c r="H12" s="436">
        <f>(7/0.01)</f>
        <v>700</v>
      </c>
      <c r="I12" s="444">
        <f>52/0.01</f>
        <v>5200</v>
      </c>
      <c r="J12" s="172" t="s">
        <v>61</v>
      </c>
      <c r="L12" s="181"/>
      <c r="M12" s="83" t="s">
        <v>57</v>
      </c>
    </row>
    <row r="13" spans="1:15" ht="20.399999999999999" customHeight="1" x14ac:dyDescent="0.3">
      <c r="A13" s="388">
        <v>8</v>
      </c>
      <c r="B13" s="91" t="s">
        <v>22</v>
      </c>
      <c r="C13" s="442">
        <f>8/0.01</f>
        <v>800</v>
      </c>
      <c r="D13" s="434">
        <f>2/0.01</f>
        <v>200</v>
      </c>
      <c r="E13" s="204" t="s">
        <v>62</v>
      </c>
      <c r="F13" s="168"/>
      <c r="G13" s="443">
        <f>1/0.01</f>
        <v>100</v>
      </c>
      <c r="H13" s="437">
        <f>4/0.01</f>
        <v>400</v>
      </c>
      <c r="I13" s="425">
        <f>15/0.01</f>
        <v>1500</v>
      </c>
      <c r="J13" s="205" t="s">
        <v>62</v>
      </c>
      <c r="L13" s="182"/>
      <c r="M13" s="83" t="s">
        <v>58</v>
      </c>
    </row>
    <row r="14" spans="1:15" ht="20.399999999999999" customHeight="1" x14ac:dyDescent="0.3">
      <c r="A14" s="388">
        <v>9</v>
      </c>
      <c r="B14" s="91" t="s">
        <v>23</v>
      </c>
      <c r="C14" s="460" t="s">
        <v>62</v>
      </c>
      <c r="D14" s="201" t="s">
        <v>60</v>
      </c>
      <c r="E14" s="204" t="s">
        <v>62</v>
      </c>
      <c r="F14" s="437">
        <f>2/0.01</f>
        <v>200</v>
      </c>
      <c r="G14" s="201" t="s">
        <v>60</v>
      </c>
      <c r="H14" s="437">
        <f>4/0.01</f>
        <v>400</v>
      </c>
      <c r="I14" s="425">
        <f>6/0.01</f>
        <v>600</v>
      </c>
      <c r="J14" s="205" t="s">
        <v>62</v>
      </c>
      <c r="L14" s="183"/>
      <c r="M14" s="83" t="s">
        <v>59</v>
      </c>
    </row>
    <row r="15" spans="1:15" ht="20.399999999999999" customHeight="1" x14ac:dyDescent="0.3">
      <c r="A15" s="388">
        <v>10</v>
      </c>
      <c r="B15" s="298" t="s">
        <v>65</v>
      </c>
      <c r="C15" s="203" t="s">
        <v>52</v>
      </c>
      <c r="D15" s="473" t="s">
        <v>60</v>
      </c>
      <c r="E15" s="474" t="s">
        <v>62</v>
      </c>
      <c r="F15" s="475">
        <f>1/0.01</f>
        <v>100</v>
      </c>
      <c r="G15" s="476" t="s">
        <v>60</v>
      </c>
      <c r="H15" s="477">
        <f>148/0.01</f>
        <v>14800</v>
      </c>
      <c r="I15" s="281"/>
      <c r="J15" s="478" t="s">
        <v>62</v>
      </c>
      <c r="L15" s="416"/>
      <c r="M15" s="83" t="s">
        <v>102</v>
      </c>
    </row>
    <row r="16" spans="1:15" ht="20.399999999999999" customHeight="1" thickBot="1" x14ac:dyDescent="0.35">
      <c r="A16" s="388">
        <v>11</v>
      </c>
      <c r="B16" s="92" t="s">
        <v>66</v>
      </c>
      <c r="C16" s="460" t="s">
        <v>52</v>
      </c>
      <c r="D16" s="461" t="s">
        <v>60</v>
      </c>
      <c r="E16" s="462" t="s">
        <v>62</v>
      </c>
      <c r="F16" s="418"/>
      <c r="G16" s="454" t="s">
        <v>60</v>
      </c>
      <c r="H16" s="464">
        <f>205/0.01</f>
        <v>20500</v>
      </c>
      <c r="I16" s="459"/>
      <c r="J16" s="463" t="s">
        <v>62</v>
      </c>
      <c r="L16" s="417"/>
    </row>
    <row r="17" spans="1:13" ht="20.399999999999999" customHeight="1" thickTop="1" x14ac:dyDescent="0.3">
      <c r="A17" s="388">
        <v>12</v>
      </c>
      <c r="B17" s="86" t="s">
        <v>25</v>
      </c>
      <c r="C17" s="465" t="s">
        <v>62</v>
      </c>
      <c r="D17" s="466" t="s">
        <v>62</v>
      </c>
      <c r="E17" s="467" t="s">
        <v>62</v>
      </c>
      <c r="F17" s="468">
        <f>2/0.01</f>
        <v>200</v>
      </c>
      <c r="G17" s="466" t="s">
        <v>60</v>
      </c>
      <c r="H17" s="469">
        <f>1/0.01</f>
        <v>100</v>
      </c>
      <c r="I17" s="470">
        <f>6/0.01</f>
        <v>600</v>
      </c>
      <c r="J17" s="471" t="s">
        <v>62</v>
      </c>
    </row>
    <row r="18" spans="1:13" ht="20.399999999999999" customHeight="1" x14ac:dyDescent="0.3">
      <c r="A18" s="388">
        <v>13</v>
      </c>
      <c r="B18" s="91" t="s">
        <v>26</v>
      </c>
      <c r="C18" s="203" t="s">
        <v>62</v>
      </c>
      <c r="D18" s="202" t="s">
        <v>62</v>
      </c>
      <c r="E18" s="204" t="s">
        <v>62</v>
      </c>
      <c r="F18" s="437">
        <f>1/0.01</f>
        <v>100</v>
      </c>
      <c r="G18" s="201" t="s">
        <v>62</v>
      </c>
      <c r="H18" s="437">
        <f>1/0.01</f>
        <v>100</v>
      </c>
      <c r="I18" s="425">
        <f>4/0.01</f>
        <v>400</v>
      </c>
      <c r="J18" s="205" t="s">
        <v>62</v>
      </c>
      <c r="M18" s="458"/>
    </row>
    <row r="19" spans="1:13" ht="20.399999999999999" customHeight="1" x14ac:dyDescent="0.3">
      <c r="A19" s="388">
        <v>14</v>
      </c>
      <c r="B19" s="298" t="s">
        <v>80</v>
      </c>
      <c r="C19" s="472" t="s">
        <v>52</v>
      </c>
      <c r="D19" s="192" t="s">
        <v>60</v>
      </c>
      <c r="E19" s="219" t="s">
        <v>62</v>
      </c>
      <c r="F19" s="475">
        <f>7/0.01</f>
        <v>700</v>
      </c>
      <c r="G19" s="193" t="s">
        <v>60</v>
      </c>
      <c r="H19" s="455">
        <f>144/0.01</f>
        <v>14400</v>
      </c>
      <c r="I19" s="487"/>
      <c r="J19" s="481" t="s">
        <v>62</v>
      </c>
    </row>
    <row r="20" spans="1:13" ht="20.399999999999999" customHeight="1" thickBot="1" x14ac:dyDescent="0.35">
      <c r="A20" s="388">
        <v>15</v>
      </c>
      <c r="B20" s="92" t="s">
        <v>71</v>
      </c>
      <c r="C20" s="206" t="s">
        <v>52</v>
      </c>
      <c r="D20" s="209" t="s">
        <v>60</v>
      </c>
      <c r="E20" s="490" t="s">
        <v>62</v>
      </c>
      <c r="F20" s="488">
        <f>6/0.01</f>
        <v>600</v>
      </c>
      <c r="G20" s="209" t="s">
        <v>60</v>
      </c>
      <c r="H20" s="489">
        <f>143/0.01</f>
        <v>14300</v>
      </c>
      <c r="I20" s="432">
        <f>1/0.01</f>
        <v>100</v>
      </c>
      <c r="J20" s="210" t="s">
        <v>62</v>
      </c>
    </row>
    <row r="21" spans="1:13" ht="20.399999999999999" customHeight="1" thickTop="1" x14ac:dyDescent="0.3">
      <c r="A21" s="388">
        <v>16</v>
      </c>
      <c r="B21" s="86" t="s">
        <v>27</v>
      </c>
      <c r="C21" s="472" t="s">
        <v>52</v>
      </c>
      <c r="D21" s="193" t="s">
        <v>62</v>
      </c>
      <c r="E21" s="479" t="s">
        <v>62</v>
      </c>
      <c r="F21" s="480">
        <f>4/0.01</f>
        <v>400</v>
      </c>
      <c r="G21" s="193" t="s">
        <v>62</v>
      </c>
      <c r="H21" s="436">
        <f>2/0.01</f>
        <v>200</v>
      </c>
      <c r="I21" s="444">
        <f>6/0.01</f>
        <v>600</v>
      </c>
      <c r="J21" s="481" t="s">
        <v>62</v>
      </c>
    </row>
    <row r="22" spans="1:13" ht="20.399999999999999" customHeight="1" x14ac:dyDescent="0.3">
      <c r="A22" s="388">
        <v>17</v>
      </c>
      <c r="B22" s="91" t="s">
        <v>28</v>
      </c>
      <c r="C22" s="203" t="s">
        <v>52</v>
      </c>
      <c r="D22" s="202" t="s">
        <v>60</v>
      </c>
      <c r="E22" s="204" t="s">
        <v>62</v>
      </c>
      <c r="F22" s="437">
        <f>3/0.01</f>
        <v>300</v>
      </c>
      <c r="G22" s="201" t="s">
        <v>62</v>
      </c>
      <c r="H22" s="437">
        <f>7/0.01</f>
        <v>700</v>
      </c>
      <c r="I22" s="425">
        <f>9/0.01</f>
        <v>900</v>
      </c>
      <c r="J22" s="205" t="s">
        <v>62</v>
      </c>
    </row>
    <row r="23" spans="1:13" ht="20.399999999999999" customHeight="1" thickBot="1" x14ac:dyDescent="0.35">
      <c r="A23" s="388">
        <v>18</v>
      </c>
      <c r="B23" s="88" t="s">
        <v>29</v>
      </c>
      <c r="C23" s="206" t="s">
        <v>62</v>
      </c>
      <c r="D23" s="208" t="s">
        <v>62</v>
      </c>
      <c r="E23" s="207" t="s">
        <v>62</v>
      </c>
      <c r="F23" s="433">
        <f>9/0.01</f>
        <v>900</v>
      </c>
      <c r="G23" s="209" t="s">
        <v>62</v>
      </c>
      <c r="H23" s="433">
        <f>5/0.01</f>
        <v>500</v>
      </c>
      <c r="I23" s="432">
        <f>5/0.01</f>
        <v>500</v>
      </c>
      <c r="J23" s="210" t="s">
        <v>62</v>
      </c>
    </row>
    <row r="24" spans="1:13" ht="20.399999999999999" customHeight="1" thickTop="1" x14ac:dyDescent="0.3">
      <c r="A24" s="388">
        <v>19</v>
      </c>
      <c r="B24" s="162" t="s">
        <v>72</v>
      </c>
      <c r="C24" s="494" t="s">
        <v>52</v>
      </c>
      <c r="D24" s="473" t="s">
        <v>60</v>
      </c>
      <c r="E24" s="474" t="s">
        <v>62</v>
      </c>
      <c r="F24" s="491"/>
      <c r="G24" s="476" t="s">
        <v>60</v>
      </c>
      <c r="H24" s="492"/>
      <c r="I24" s="493"/>
      <c r="J24" s="478" t="s">
        <v>62</v>
      </c>
    </row>
    <row r="25" spans="1:13" ht="20.399999999999999" customHeight="1" x14ac:dyDescent="0.3">
      <c r="A25" s="388">
        <v>20</v>
      </c>
      <c r="B25" s="87" t="s">
        <v>73</v>
      </c>
      <c r="C25" s="188">
        <v>770000</v>
      </c>
      <c r="D25" s="454" t="s">
        <v>60</v>
      </c>
      <c r="E25" s="381" t="s">
        <v>62</v>
      </c>
      <c r="F25" s="452"/>
      <c r="G25" s="454" t="s">
        <v>60</v>
      </c>
      <c r="H25" s="455">
        <f>171/0.01</f>
        <v>17100</v>
      </c>
      <c r="I25" s="453"/>
      <c r="J25" s="382" t="s">
        <v>62</v>
      </c>
    </row>
    <row r="26" spans="1:13" ht="20.399999999999999" customHeight="1" x14ac:dyDescent="0.3">
      <c r="A26" s="388">
        <v>21</v>
      </c>
      <c r="B26" s="87" t="s">
        <v>75</v>
      </c>
      <c r="C26" s="203" t="s">
        <v>52</v>
      </c>
      <c r="D26" s="201" t="s">
        <v>60</v>
      </c>
      <c r="E26" s="474" t="s">
        <v>62</v>
      </c>
      <c r="F26" s="475">
        <f>1/0.01</f>
        <v>100</v>
      </c>
      <c r="G26" s="201" t="s">
        <v>60</v>
      </c>
      <c r="H26" s="426">
        <f>70/0.01</f>
        <v>7000</v>
      </c>
      <c r="I26" s="487"/>
      <c r="J26" s="382" t="s">
        <v>62</v>
      </c>
    </row>
    <row r="27" spans="1:13" ht="20.399999999999999" customHeight="1" x14ac:dyDescent="0.3">
      <c r="A27" s="388">
        <v>22</v>
      </c>
      <c r="B27" s="90" t="s">
        <v>30</v>
      </c>
      <c r="C27" s="188">
        <v>485000</v>
      </c>
      <c r="D27" s="189">
        <v>5440000</v>
      </c>
      <c r="E27" s="438">
        <f>13/0.01</f>
        <v>1300</v>
      </c>
      <c r="F27" s="441">
        <f>71/0.01</f>
        <v>7100</v>
      </c>
      <c r="G27" s="193" t="s">
        <v>62</v>
      </c>
      <c r="H27" s="174">
        <v>4250000</v>
      </c>
      <c r="I27" s="187" t="s">
        <v>62</v>
      </c>
      <c r="J27" s="431">
        <f>5/0.01</f>
        <v>500</v>
      </c>
    </row>
    <row r="28" spans="1:13" ht="20.399999999999999" customHeight="1" x14ac:dyDescent="0.3">
      <c r="A28" s="388">
        <v>23</v>
      </c>
      <c r="B28" s="87" t="s">
        <v>31</v>
      </c>
      <c r="C28" s="211" t="s">
        <v>52</v>
      </c>
      <c r="D28" s="202" t="s">
        <v>52</v>
      </c>
      <c r="E28" s="428">
        <f>9/0.01</f>
        <v>900</v>
      </c>
      <c r="F28" s="170">
        <v>40000</v>
      </c>
      <c r="G28" s="201" t="s">
        <v>62</v>
      </c>
      <c r="H28" s="211" t="s">
        <v>52</v>
      </c>
      <c r="I28" s="212" t="s">
        <v>62</v>
      </c>
      <c r="J28" s="430">
        <f>1/0.01</f>
        <v>100</v>
      </c>
    </row>
    <row r="29" spans="1:13" ht="20.399999999999999" customHeight="1" thickBot="1" x14ac:dyDescent="0.35">
      <c r="A29" s="388">
        <v>24</v>
      </c>
      <c r="B29" s="88" t="s">
        <v>32</v>
      </c>
      <c r="C29" s="165" t="s">
        <v>52</v>
      </c>
      <c r="D29" s="208" t="s">
        <v>60</v>
      </c>
      <c r="E29" s="439">
        <f>2/0.02</f>
        <v>100</v>
      </c>
      <c r="F29" s="169">
        <v>545000</v>
      </c>
      <c r="G29" s="209" t="s">
        <v>60</v>
      </c>
      <c r="H29" s="165" t="s">
        <v>52</v>
      </c>
      <c r="I29" s="166" t="s">
        <v>60</v>
      </c>
      <c r="J29" s="429">
        <f>2/0.01</f>
        <v>200</v>
      </c>
    </row>
    <row r="30" spans="1:13" ht="20.399999999999999" customHeight="1" thickTop="1" x14ac:dyDescent="0.3">
      <c r="A30" s="388">
        <v>25</v>
      </c>
      <c r="B30" s="86" t="s">
        <v>33</v>
      </c>
      <c r="C30" s="436">
        <f>3/0.01</f>
        <v>300</v>
      </c>
      <c r="D30" s="435">
        <f>4/0.01</f>
        <v>400</v>
      </c>
      <c r="E30" s="219" t="s">
        <v>62</v>
      </c>
      <c r="F30" s="186" t="s">
        <v>55</v>
      </c>
      <c r="G30" s="184"/>
      <c r="H30" s="186">
        <v>2770000</v>
      </c>
      <c r="I30" s="187" t="s">
        <v>60</v>
      </c>
      <c r="J30" s="185"/>
      <c r="M30" s="440"/>
    </row>
    <row r="31" spans="1:13" ht="20.399999999999999" customHeight="1" x14ac:dyDescent="0.3">
      <c r="A31" s="388">
        <v>26</v>
      </c>
      <c r="B31" s="87" t="s">
        <v>34</v>
      </c>
      <c r="C31" s="437">
        <f>8/0.01</f>
        <v>800</v>
      </c>
      <c r="D31" s="434">
        <f>3/0.01</f>
        <v>300</v>
      </c>
      <c r="E31" s="204" t="s">
        <v>52</v>
      </c>
      <c r="F31" s="170">
        <v>96000</v>
      </c>
      <c r="G31" s="199"/>
      <c r="H31" s="211" t="s">
        <v>52</v>
      </c>
      <c r="I31" s="212" t="s">
        <v>52</v>
      </c>
      <c r="J31" s="173"/>
    </row>
    <row r="32" spans="1:13" ht="20.399999999999999" customHeight="1" thickBot="1" x14ac:dyDescent="0.35">
      <c r="A32" s="388">
        <v>27</v>
      </c>
      <c r="B32" s="88" t="s">
        <v>35</v>
      </c>
      <c r="C32" s="165" t="s">
        <v>62</v>
      </c>
      <c r="D32" s="208" t="s">
        <v>62</v>
      </c>
      <c r="E32" s="207" t="s">
        <v>62</v>
      </c>
      <c r="F32" s="433">
        <f>3/0.01</f>
        <v>300</v>
      </c>
      <c r="G32" s="209" t="s">
        <v>62</v>
      </c>
      <c r="H32" s="433">
        <f>24/0.01</f>
        <v>2400</v>
      </c>
      <c r="I32" s="432">
        <f>47/0.01</f>
        <v>4700</v>
      </c>
      <c r="J32" s="210" t="s">
        <v>62</v>
      </c>
    </row>
    <row r="33" spans="1:10" ht="21.6" customHeight="1" thickTop="1" x14ac:dyDescent="0.3">
      <c r="A33" s="388">
        <v>28</v>
      </c>
      <c r="B33" s="90" t="s">
        <v>36</v>
      </c>
      <c r="C33" s="436">
        <f>5/0.01</f>
        <v>500</v>
      </c>
      <c r="D33" s="435">
        <f>1/0.01</f>
        <v>100</v>
      </c>
      <c r="E33" s="456">
        <f>1/0.01</f>
        <v>100</v>
      </c>
      <c r="F33" s="171">
        <f>158/0.01</f>
        <v>15800</v>
      </c>
      <c r="G33" s="184"/>
      <c r="H33" s="186" t="s">
        <v>52</v>
      </c>
      <c r="I33" s="187" t="s">
        <v>60</v>
      </c>
      <c r="J33" s="215" t="s">
        <v>52</v>
      </c>
    </row>
    <row r="34" spans="1:10" ht="24.6" customHeight="1" x14ac:dyDescent="0.3">
      <c r="A34" s="388">
        <v>29</v>
      </c>
      <c r="B34" s="91" t="s">
        <v>37</v>
      </c>
      <c r="C34" s="418"/>
      <c r="D34" s="457">
        <f>2/0.01</f>
        <v>200</v>
      </c>
      <c r="E34" s="419"/>
      <c r="F34" s="464">
        <v>82000</v>
      </c>
      <c r="G34" s="443">
        <f>2/0.01</f>
        <v>200</v>
      </c>
      <c r="H34" s="464">
        <v>2720000</v>
      </c>
      <c r="I34" s="212" t="s">
        <v>60</v>
      </c>
      <c r="J34" s="420"/>
    </row>
    <row r="35" spans="1:10" ht="20.399999999999999" customHeight="1" thickBot="1" x14ac:dyDescent="0.35">
      <c r="A35" s="388">
        <v>30</v>
      </c>
      <c r="B35" s="92" t="s">
        <v>78</v>
      </c>
      <c r="C35" s="557">
        <v>616500</v>
      </c>
      <c r="D35" s="209" t="s">
        <v>60</v>
      </c>
      <c r="E35" s="421"/>
      <c r="F35" s="450">
        <f>(860/0.01)</f>
        <v>86000</v>
      </c>
      <c r="G35" s="447" t="s">
        <v>60</v>
      </c>
      <c r="H35" s="448" t="s">
        <v>52</v>
      </c>
      <c r="I35" s="449" t="s">
        <v>60</v>
      </c>
      <c r="J35" s="451">
        <f>11/0.01</f>
        <v>1100</v>
      </c>
    </row>
    <row r="36" spans="1:10" ht="20.399999999999999" customHeight="1" thickTop="1" x14ac:dyDescent="0.3">
      <c r="A36" s="388">
        <v>31</v>
      </c>
      <c r="B36" s="162" t="s">
        <v>38</v>
      </c>
      <c r="C36" s="380" t="s">
        <v>52</v>
      </c>
      <c r="D36" s="383" t="s">
        <v>60</v>
      </c>
      <c r="E36" s="384"/>
      <c r="F36" s="385"/>
      <c r="G36" s="386" t="s">
        <v>60</v>
      </c>
      <c r="H36" s="280"/>
      <c r="I36" s="281"/>
      <c r="J36" s="422">
        <f>5/0.01</f>
        <v>500</v>
      </c>
    </row>
    <row r="37" spans="1:10" ht="20.399999999999999" customHeight="1" x14ac:dyDescent="0.3">
      <c r="A37" s="388">
        <v>32</v>
      </c>
      <c r="B37" s="87" t="s">
        <v>44</v>
      </c>
      <c r="C37" s="170">
        <f>600/0.01</f>
        <v>60000</v>
      </c>
      <c r="D37" s="189">
        <v>4740000</v>
      </c>
      <c r="E37" s="428">
        <f>5/0.01</f>
        <v>500</v>
      </c>
      <c r="F37" s="168"/>
      <c r="G37" s="194" t="s">
        <v>60</v>
      </c>
      <c r="H37" s="426">
        <f>2/0.01</f>
        <v>200</v>
      </c>
      <c r="I37" s="425">
        <f>2/0.01</f>
        <v>200</v>
      </c>
      <c r="J37" s="423">
        <f>17/0.01</f>
        <v>1700</v>
      </c>
    </row>
    <row r="38" spans="1:10" ht="27" customHeight="1" thickBot="1" x14ac:dyDescent="0.35">
      <c r="A38" s="388">
        <v>33</v>
      </c>
      <c r="B38" s="387" t="s">
        <v>43</v>
      </c>
      <c r="C38" s="556">
        <v>542000</v>
      </c>
      <c r="D38" s="195" t="s">
        <v>60</v>
      </c>
      <c r="E38" s="427">
        <f>5/0.01</f>
        <v>500</v>
      </c>
      <c r="F38" s="555">
        <v>82000</v>
      </c>
      <c r="G38" s="196" t="s">
        <v>60</v>
      </c>
      <c r="H38" s="197" t="s">
        <v>52</v>
      </c>
      <c r="I38" s="198" t="s">
        <v>62</v>
      </c>
      <c r="J38" s="424">
        <f>3/0.01</f>
        <v>300</v>
      </c>
    </row>
    <row r="41" spans="1:10" x14ac:dyDescent="0.3">
      <c r="B41" s="512"/>
    </row>
  </sheetData>
  <mergeCells count="8">
    <mergeCell ref="N1:O1"/>
    <mergeCell ref="C1:J1"/>
    <mergeCell ref="L2:M2"/>
    <mergeCell ref="B2:B4"/>
    <mergeCell ref="C2:E2"/>
    <mergeCell ref="F2:I2"/>
    <mergeCell ref="C3:D3"/>
    <mergeCell ref="F3:G3"/>
  </mergeCells>
  <pageMargins left="0.25" right="0.25" top="0.75" bottom="0.75" header="0.3" footer="0.3"/>
  <pageSetup scale="83" fitToWidth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50EE-3021-4244-8B16-C12EDF110FA3}">
  <dimension ref="A1:T44"/>
  <sheetViews>
    <sheetView topLeftCell="A7" workbookViewId="0">
      <selection activeCell="D30" sqref="D30"/>
    </sheetView>
  </sheetViews>
  <sheetFormatPr defaultRowHeight="14.4" x14ac:dyDescent="0.3"/>
  <cols>
    <col min="2" max="2" width="9.5546875" bestFit="1" customWidth="1"/>
    <col min="3" max="8" width="8.88671875" style="458"/>
  </cols>
  <sheetData>
    <row r="1" spans="1:20" ht="4.8" customHeight="1" thickBot="1" x14ac:dyDescent="0.35">
      <c r="M1" s="2"/>
    </row>
    <row r="2" spans="1:20" ht="15" thickBot="1" x14ac:dyDescent="0.35">
      <c r="B2" s="2"/>
      <c r="C2" s="519" t="s">
        <v>8</v>
      </c>
      <c r="D2" s="515" t="s">
        <v>5</v>
      </c>
      <c r="E2" s="519" t="s">
        <v>6</v>
      </c>
      <c r="F2" s="519" t="s">
        <v>12</v>
      </c>
      <c r="G2" s="519" t="s">
        <v>24</v>
      </c>
      <c r="H2" s="521" t="s">
        <v>83</v>
      </c>
      <c r="I2" s="517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6" thickTop="1" thickBot="1" x14ac:dyDescent="0.35">
      <c r="A3" s="523"/>
      <c r="B3" s="542" t="s">
        <v>106</v>
      </c>
      <c r="C3" s="539"/>
      <c r="D3" s="541"/>
      <c r="E3" s="539"/>
      <c r="F3" s="539"/>
      <c r="G3" s="539"/>
      <c r="H3" s="543" t="s">
        <v>107</v>
      </c>
      <c r="I3" s="518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6" thickTop="1" thickBot="1" x14ac:dyDescent="0.35">
      <c r="A4" s="523"/>
      <c r="B4" s="544" t="s">
        <v>111</v>
      </c>
      <c r="C4" s="531"/>
      <c r="D4" s="530"/>
      <c r="E4" s="531"/>
      <c r="F4" s="531"/>
      <c r="G4" s="531">
        <f>(196/0.01)*10^2</f>
        <v>1960000</v>
      </c>
      <c r="H4" s="545"/>
      <c r="I4" s="518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6" thickTop="1" thickBot="1" x14ac:dyDescent="0.35">
      <c r="A5" s="523"/>
      <c r="B5" s="544" t="s">
        <v>112</v>
      </c>
      <c r="C5" s="531"/>
      <c r="D5" s="530"/>
      <c r="E5" s="531"/>
      <c r="F5" s="531"/>
      <c r="G5" s="531">
        <f>(220/0.01)*10^2</f>
        <v>2200000</v>
      </c>
      <c r="H5" s="545"/>
      <c r="I5" s="518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" thickTop="1" x14ac:dyDescent="0.3">
      <c r="A6" s="523"/>
      <c r="B6" s="534" t="s">
        <v>113</v>
      </c>
      <c r="C6" s="524"/>
      <c r="D6" s="524">
        <f>(107/0.01)*10^2</f>
        <v>1070000</v>
      </c>
      <c r="E6" s="524"/>
      <c r="F6" s="528" t="s">
        <v>61</v>
      </c>
      <c r="G6" s="528"/>
      <c r="H6" s="546"/>
      <c r="I6" s="518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" thickBot="1" x14ac:dyDescent="0.35">
      <c r="A7" s="523"/>
      <c r="B7" s="538"/>
      <c r="C7" s="520"/>
      <c r="D7" s="520">
        <f>(1468/0.1)*10^2</f>
        <v>1468000</v>
      </c>
      <c r="E7" s="532"/>
      <c r="F7" s="524" t="s">
        <v>61</v>
      </c>
      <c r="G7" s="524"/>
      <c r="H7" s="536"/>
      <c r="I7" s="518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" thickBot="1" x14ac:dyDescent="0.35">
      <c r="A8" s="523"/>
      <c r="B8" s="547"/>
      <c r="C8" s="519"/>
      <c r="D8" s="527">
        <f>AVERAGE(D6,D7)</f>
        <v>1269000</v>
      </c>
      <c r="E8" s="519"/>
      <c r="F8" s="527"/>
      <c r="G8" s="527"/>
      <c r="H8" s="548"/>
      <c r="I8" s="518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" thickTop="1" x14ac:dyDescent="0.3">
      <c r="B9" s="538" t="s">
        <v>108</v>
      </c>
      <c r="C9" s="526">
        <f>(7/0.01)*10^2</f>
        <v>70000</v>
      </c>
      <c r="D9" s="528">
        <f>(54/0.01)*10^2</f>
        <v>540000</v>
      </c>
      <c r="E9" s="526"/>
      <c r="F9" s="528"/>
      <c r="G9" s="528"/>
      <c r="H9" s="53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" thickBot="1" x14ac:dyDescent="0.35">
      <c r="B10" s="535"/>
      <c r="C10" s="520">
        <f>(94/0.1)*10^2</f>
        <v>94000</v>
      </c>
      <c r="D10" s="532">
        <f>(544/0.1)*10^2</f>
        <v>544000</v>
      </c>
      <c r="E10" s="525"/>
      <c r="F10" s="520"/>
      <c r="G10" s="520"/>
      <c r="H10" s="53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" thickBot="1" x14ac:dyDescent="0.35">
      <c r="A11" s="523"/>
      <c r="B11" s="544"/>
      <c r="C11" s="533">
        <f>AVERAGE(C9,C10)</f>
        <v>82000</v>
      </c>
      <c r="D11" s="527">
        <f>AVERAGE(D9,D10)</f>
        <v>542000</v>
      </c>
      <c r="E11" s="527"/>
      <c r="F11" s="531"/>
      <c r="G11" s="531"/>
      <c r="H11" s="545"/>
      <c r="I11" s="51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6" thickTop="1" thickBot="1" x14ac:dyDescent="0.35">
      <c r="B12" s="549" t="s">
        <v>110</v>
      </c>
      <c r="C12" s="533"/>
      <c r="D12" s="531"/>
      <c r="E12" s="530">
        <f>(474/0.01)*10^2</f>
        <v>4740000</v>
      </c>
      <c r="F12" s="531"/>
      <c r="G12" s="531"/>
      <c r="H12" s="54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6" thickTop="1" thickBot="1" x14ac:dyDescent="0.35">
      <c r="B13" s="550" t="s">
        <v>109</v>
      </c>
      <c r="C13" s="530"/>
      <c r="D13" s="531">
        <f>(77/0.01)*10^2</f>
        <v>770000</v>
      </c>
      <c r="E13" s="530"/>
      <c r="F13" s="531"/>
      <c r="G13" s="531"/>
      <c r="H13" s="54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" thickTop="1" x14ac:dyDescent="0.3">
      <c r="B14" s="538" t="s">
        <v>114</v>
      </c>
      <c r="C14" s="524"/>
      <c r="D14" s="528">
        <f>(49/0.01)*10^2</f>
        <v>490000</v>
      </c>
      <c r="E14" s="524">
        <f>(544/0.01)*10^2</f>
        <v>5440000</v>
      </c>
      <c r="F14" s="528"/>
      <c r="G14" s="524">
        <f>(425/0.01)*10^2</f>
        <v>4250000</v>
      </c>
      <c r="H14" s="53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" thickBot="1" x14ac:dyDescent="0.35">
      <c r="B15" s="538"/>
      <c r="C15" s="520"/>
      <c r="D15" s="522">
        <f>(480/0.1)*10^2</f>
        <v>480000</v>
      </c>
      <c r="E15" s="520" t="s">
        <v>61</v>
      </c>
      <c r="F15" s="516"/>
      <c r="G15" s="520" t="s">
        <v>61</v>
      </c>
      <c r="H15" s="53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" thickBot="1" x14ac:dyDescent="0.35">
      <c r="B16" s="547"/>
      <c r="C16" s="524"/>
      <c r="D16" s="527">
        <f>AVERAGE(D14,D15)</f>
        <v>485000</v>
      </c>
      <c r="E16" s="527"/>
      <c r="F16" s="529"/>
      <c r="G16" s="527"/>
      <c r="H16" s="54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15.6" thickTop="1" thickBot="1" x14ac:dyDescent="0.35">
      <c r="B17" s="551" t="s">
        <v>115</v>
      </c>
      <c r="C17" s="539">
        <f>(4/0.01)*10^2</f>
        <v>40000</v>
      </c>
      <c r="D17" s="540"/>
      <c r="E17" s="539"/>
      <c r="F17" s="541"/>
      <c r="G17" s="539"/>
      <c r="H17" s="552"/>
      <c r="I17" s="2"/>
      <c r="J17" s="2"/>
      <c r="K17" s="2"/>
      <c r="L17" s="2"/>
      <c r="N17" s="2"/>
      <c r="O17" s="2"/>
      <c r="P17" s="2"/>
      <c r="Q17" s="2"/>
      <c r="R17" s="2"/>
      <c r="S17" s="2"/>
      <c r="T17" s="2"/>
    </row>
    <row r="18" spans="2:20" ht="15" thickTop="1" x14ac:dyDescent="0.3">
      <c r="B18" s="538" t="s">
        <v>116</v>
      </c>
      <c r="C18" s="525">
        <f>(11/0.01)*10^2</f>
        <v>110000</v>
      </c>
      <c r="D18" s="524"/>
      <c r="E18" s="525"/>
      <c r="F18" s="524"/>
      <c r="G18" s="524"/>
      <c r="H18" s="53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ht="15" thickBot="1" x14ac:dyDescent="0.35">
      <c r="B19" s="538"/>
      <c r="C19" s="520">
        <f>(98/0.01)*10^2</f>
        <v>980000</v>
      </c>
      <c r="D19" s="520"/>
      <c r="E19" s="520"/>
      <c r="F19" s="520"/>
      <c r="G19" s="520"/>
      <c r="H19" s="53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ht="15" thickBot="1" x14ac:dyDescent="0.35">
      <c r="B20" s="547"/>
      <c r="C20" s="533">
        <f>AVERAGE(C18,C19)</f>
        <v>545000</v>
      </c>
      <c r="D20" s="531"/>
      <c r="E20" s="530"/>
      <c r="F20" s="531"/>
      <c r="G20" s="531"/>
      <c r="H20" s="54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ht="15.6" thickTop="1" thickBot="1" x14ac:dyDescent="0.35">
      <c r="B21" s="542" t="s">
        <v>118</v>
      </c>
      <c r="C21" s="539"/>
      <c r="D21" s="541"/>
      <c r="E21" s="539"/>
      <c r="F21" s="541"/>
      <c r="G21" s="539">
        <f>(277/0.01)*10^2</f>
        <v>2770000</v>
      </c>
      <c r="H21" s="54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ht="15" thickTop="1" x14ac:dyDescent="0.3">
      <c r="B22" s="538" t="s">
        <v>119</v>
      </c>
      <c r="C22" s="524">
        <f>(12/0.01)*10^2</f>
        <v>120000</v>
      </c>
      <c r="D22" s="526"/>
      <c r="E22" s="526"/>
      <c r="F22" s="525"/>
      <c r="G22" s="526"/>
      <c r="H22" s="53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ht="15" thickBot="1" x14ac:dyDescent="0.35">
      <c r="B23" s="538"/>
      <c r="C23" s="520">
        <f>(72/0.1)*10^2</f>
        <v>72000</v>
      </c>
      <c r="D23" s="525"/>
      <c r="E23" s="524"/>
      <c r="F23" s="520"/>
      <c r="G23" s="524"/>
      <c r="H23" s="53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ht="15" thickBot="1" x14ac:dyDescent="0.35">
      <c r="B24" s="547"/>
      <c r="C24" s="527">
        <f>AVERAGE(C22,C23)</f>
        <v>96000</v>
      </c>
      <c r="D24" s="529"/>
      <c r="E24" s="527"/>
      <c r="F24" s="529"/>
      <c r="G24" s="527"/>
      <c r="H24" s="55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ht="15" thickTop="1" x14ac:dyDescent="0.3">
      <c r="B25" s="538" t="s">
        <v>120</v>
      </c>
      <c r="C25" s="524">
        <f>(11/0.01)*10^2</f>
        <v>110000</v>
      </c>
      <c r="D25" s="525"/>
      <c r="E25" s="526"/>
      <c r="F25" s="525"/>
      <c r="G25" s="526">
        <f>AVERAGE(272/0.01)*10^2</f>
        <v>2720000</v>
      </c>
      <c r="H25" s="55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ht="15" thickBot="1" x14ac:dyDescent="0.35">
      <c r="B26" s="538"/>
      <c r="C26" s="520">
        <f>(54/0.1)*10^2</f>
        <v>54000</v>
      </c>
      <c r="D26" s="520"/>
      <c r="E26" s="524"/>
      <c r="F26" s="520"/>
      <c r="G26" s="524"/>
      <c r="H26" s="53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ht="15" thickBot="1" x14ac:dyDescent="0.35">
      <c r="B27" s="547"/>
      <c r="C27" s="527">
        <f>AVERAGE(C25,C26)</f>
        <v>82000</v>
      </c>
      <c r="D27" s="529"/>
      <c r="E27" s="527"/>
      <c r="F27" s="529"/>
      <c r="G27" s="527"/>
      <c r="H27" s="55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ht="15" thickTop="1" x14ac:dyDescent="0.3">
      <c r="B28" s="538" t="s">
        <v>117</v>
      </c>
      <c r="C28" s="524"/>
      <c r="D28" s="526">
        <f>(62/0.01)*10^2</f>
        <v>620000</v>
      </c>
      <c r="E28" s="524"/>
      <c r="F28" s="525"/>
      <c r="G28" s="524"/>
      <c r="H28" s="53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ht="15" thickBot="1" x14ac:dyDescent="0.35">
      <c r="B29" s="538"/>
      <c r="C29" s="520"/>
      <c r="D29" s="516">
        <f>(613/0.1)*10^2</f>
        <v>613000</v>
      </c>
      <c r="E29" s="520"/>
      <c r="F29" s="520"/>
      <c r="G29" s="520"/>
      <c r="H29" s="53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ht="15" thickBot="1" x14ac:dyDescent="0.35">
      <c r="B30" s="547"/>
      <c r="C30" s="531"/>
      <c r="D30" s="530">
        <f>AVERAGE(D28,D29)</f>
        <v>616500</v>
      </c>
      <c r="E30" s="531"/>
      <c r="F30" s="530"/>
      <c r="G30" s="531"/>
      <c r="H30" s="54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ht="15" thickTop="1" x14ac:dyDescent="0.3">
      <c r="B31" s="2"/>
      <c r="C31" s="514"/>
      <c r="D31" s="514"/>
      <c r="E31" s="514"/>
      <c r="F31" s="514"/>
      <c r="G31" s="514"/>
      <c r="H31" s="5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">
      <c r="B32" s="2"/>
      <c r="C32" s="514"/>
      <c r="D32" s="514"/>
      <c r="E32" s="514"/>
      <c r="F32" s="514"/>
      <c r="G32" s="514"/>
      <c r="H32" s="5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x14ac:dyDescent="0.3">
      <c r="B33" s="2"/>
      <c r="C33" s="514"/>
      <c r="D33" s="514"/>
      <c r="E33" s="514"/>
      <c r="F33" s="514"/>
      <c r="G33" s="514"/>
      <c r="H33" s="5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x14ac:dyDescent="0.3">
      <c r="B34" s="2"/>
      <c r="C34" s="514"/>
      <c r="D34" s="514"/>
      <c r="E34" s="514"/>
      <c r="F34" s="514"/>
      <c r="G34" s="514"/>
      <c r="H34" s="514"/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12</v>
      </c>
      <c r="T34" s="2"/>
    </row>
    <row r="35" spans="2:20" x14ac:dyDescent="0.3">
      <c r="B35" s="2"/>
      <c r="C35" s="514"/>
      <c r="D35" s="514"/>
      <c r="E35" s="514"/>
      <c r="F35" s="514"/>
      <c r="G35" s="514"/>
      <c r="H35" s="514"/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6</v>
      </c>
      <c r="T35" s="2"/>
    </row>
    <row r="36" spans="2:20" x14ac:dyDescent="0.3">
      <c r="B36" s="2"/>
      <c r="C36" s="514"/>
      <c r="D36" s="514"/>
      <c r="E36" s="514"/>
      <c r="F36" s="514"/>
      <c r="G36" s="514"/>
      <c r="H36" s="514"/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7</v>
      </c>
      <c r="T36" s="2"/>
    </row>
    <row r="37" spans="2:20" x14ac:dyDescent="0.3">
      <c r="B37" s="2"/>
      <c r="C37" s="514"/>
      <c r="D37" s="514"/>
      <c r="E37" s="514"/>
      <c r="F37" s="514"/>
      <c r="G37" s="514"/>
      <c r="H37" s="51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x14ac:dyDescent="0.3">
      <c r="B38" s="2"/>
      <c r="C38" s="514"/>
      <c r="D38" s="514"/>
      <c r="E38" s="514"/>
      <c r="F38" s="514"/>
      <c r="G38" s="514"/>
      <c r="H38" s="51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x14ac:dyDescent="0.3">
      <c r="B39" s="2"/>
      <c r="C39" s="514"/>
      <c r="D39" s="514"/>
      <c r="E39" s="514"/>
      <c r="F39" s="514"/>
      <c r="G39" s="514"/>
      <c r="H39" s="51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x14ac:dyDescent="0.3">
      <c r="B40" s="2"/>
      <c r="C40" s="514"/>
      <c r="D40" s="514"/>
      <c r="E40" s="514"/>
      <c r="F40" s="514"/>
      <c r="G40" s="514"/>
      <c r="H40" s="51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x14ac:dyDescent="0.3">
      <c r="B41" s="2"/>
      <c r="C41" s="514"/>
      <c r="D41" s="514"/>
      <c r="E41" s="514"/>
      <c r="F41" s="514"/>
      <c r="G41" s="514"/>
      <c r="H41" s="51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x14ac:dyDescent="0.3">
      <c r="B42" s="2"/>
      <c r="C42" s="514"/>
      <c r="D42" s="514"/>
      <c r="E42" s="514"/>
      <c r="F42" s="514"/>
      <c r="G42" s="514"/>
      <c r="H42" s="51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2:20" x14ac:dyDescent="0.3">
      <c r="B43" s="2"/>
      <c r="C43" s="514"/>
      <c r="D43" s="514"/>
      <c r="E43" s="514"/>
      <c r="F43" s="514"/>
      <c r="G43" s="514"/>
      <c r="H43" s="51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2:20" x14ac:dyDescent="0.3">
      <c r="B44" s="2"/>
      <c r="C44" s="514"/>
      <c r="D44" s="514"/>
      <c r="E44" s="514"/>
      <c r="F44" s="514"/>
      <c r="G44" s="514"/>
      <c r="H44" s="51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</sheetData>
  <sortState xmlns:xlrd2="http://schemas.microsoft.com/office/spreadsheetml/2017/richdata2" ref="M1:M45">
    <sortCondition ref="M1:M45"/>
  </sortState>
  <mergeCells count="7">
    <mergeCell ref="B18:B20"/>
    <mergeCell ref="B28:B30"/>
    <mergeCell ref="B22:B24"/>
    <mergeCell ref="B25:B27"/>
    <mergeCell ref="B9:B10"/>
    <mergeCell ref="B14:B16"/>
    <mergeCell ref="B6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F948-6434-453A-BF86-022B33259ED5}">
  <sheetPr>
    <pageSetUpPr fitToPage="1"/>
  </sheetPr>
  <dimension ref="A1:K42"/>
  <sheetViews>
    <sheetView topLeftCell="A15" workbookViewId="0">
      <selection activeCell="O10" sqref="O10"/>
    </sheetView>
  </sheetViews>
  <sheetFormatPr defaultRowHeight="14.4" x14ac:dyDescent="0.3"/>
  <cols>
    <col min="1" max="1" width="3.5546875" customWidth="1"/>
    <col min="2" max="2" width="5.5546875" customWidth="1"/>
    <col min="3" max="3" width="18.5546875" customWidth="1"/>
    <col min="4" max="7" width="12.77734375" customWidth="1"/>
    <col min="8" max="8" width="12.88671875" customWidth="1"/>
    <col min="9" max="9" width="12.77734375" customWidth="1"/>
    <col min="10" max="10" width="12.77734375" bestFit="1" customWidth="1"/>
    <col min="11" max="11" width="12.77734375" customWidth="1"/>
  </cols>
  <sheetData>
    <row r="1" spans="1:11" ht="15" thickBot="1" x14ac:dyDescent="0.35">
      <c r="B1" s="2"/>
      <c r="C1" s="499" t="s">
        <v>0</v>
      </c>
      <c r="D1" s="502" t="s">
        <v>1</v>
      </c>
      <c r="E1" s="502"/>
      <c r="F1" s="503"/>
      <c r="G1" s="504" t="s">
        <v>2</v>
      </c>
      <c r="H1" s="502"/>
      <c r="I1" s="502"/>
      <c r="J1" s="503"/>
      <c r="K1" s="3" t="s">
        <v>3</v>
      </c>
    </row>
    <row r="2" spans="1:11" ht="15.6" thickTop="1" thickBot="1" x14ac:dyDescent="0.35">
      <c r="B2" s="2"/>
      <c r="C2" s="500"/>
      <c r="D2" s="505" t="s">
        <v>4</v>
      </c>
      <c r="E2" s="505"/>
      <c r="F2" s="5"/>
      <c r="G2" s="506" t="s">
        <v>4</v>
      </c>
      <c r="H2" s="507"/>
      <c r="I2" s="4"/>
      <c r="J2" s="6"/>
      <c r="K2" s="7"/>
    </row>
    <row r="3" spans="1:11" ht="15.6" thickTop="1" thickBot="1" x14ac:dyDescent="0.35">
      <c r="B3" s="2"/>
      <c r="C3" s="501"/>
      <c r="D3" s="8" t="s">
        <v>5</v>
      </c>
      <c r="E3" s="9" t="s">
        <v>6</v>
      </c>
      <c r="F3" s="10" t="s">
        <v>7</v>
      </c>
      <c r="G3" s="11" t="s">
        <v>8</v>
      </c>
      <c r="H3" s="12" t="s">
        <v>9</v>
      </c>
      <c r="I3" s="8" t="s">
        <v>10</v>
      </c>
      <c r="J3" s="13" t="s">
        <v>11</v>
      </c>
      <c r="K3" s="14" t="s">
        <v>12</v>
      </c>
    </row>
    <row r="4" spans="1:11" ht="15" thickBot="1" x14ac:dyDescent="0.35">
      <c r="B4" s="2"/>
      <c r="C4" s="89" t="s">
        <v>13</v>
      </c>
      <c r="D4" s="221"/>
      <c r="E4" s="222"/>
      <c r="F4" s="223"/>
      <c r="G4" s="224"/>
      <c r="H4" s="222"/>
      <c r="I4" s="224"/>
      <c r="J4" s="225"/>
      <c r="K4" s="226"/>
    </row>
    <row r="5" spans="1:11" ht="15" thickTop="1" x14ac:dyDescent="0.3">
      <c r="A5">
        <v>1</v>
      </c>
      <c r="B5" s="495" t="s">
        <v>5</v>
      </c>
      <c r="C5" s="86" t="s">
        <v>14</v>
      </c>
      <c r="D5" s="227"/>
      <c r="E5" s="228"/>
      <c r="F5" s="229"/>
      <c r="G5" s="230"/>
      <c r="H5" s="231"/>
      <c r="I5" s="230"/>
      <c r="J5" s="232"/>
      <c r="K5" s="86"/>
    </row>
    <row r="6" spans="1:11" x14ac:dyDescent="0.3">
      <c r="A6">
        <v>2</v>
      </c>
      <c r="B6" s="496"/>
      <c r="C6" s="86" t="s">
        <v>15</v>
      </c>
      <c r="D6" s="233"/>
      <c r="E6" s="234"/>
      <c r="F6" s="235"/>
      <c r="G6" s="236"/>
      <c r="H6" s="237"/>
      <c r="I6" s="236"/>
      <c r="J6" s="238"/>
      <c r="K6" s="87"/>
    </row>
    <row r="7" spans="1:11" ht="15" thickBot="1" x14ac:dyDescent="0.35">
      <c r="A7">
        <v>3</v>
      </c>
      <c r="B7" s="497"/>
      <c r="C7" s="88" t="s">
        <v>16</v>
      </c>
      <c r="D7" s="239"/>
      <c r="E7" s="240"/>
      <c r="F7" s="241"/>
      <c r="G7" s="242"/>
      <c r="H7" s="243"/>
      <c r="I7" s="242"/>
      <c r="J7" s="244"/>
      <c r="K7" s="88"/>
    </row>
    <row r="8" spans="1:11" ht="15" thickTop="1" x14ac:dyDescent="0.3">
      <c r="A8">
        <v>4</v>
      </c>
      <c r="B8" s="495" t="s">
        <v>17</v>
      </c>
      <c r="C8" s="86" t="s">
        <v>18</v>
      </c>
      <c r="D8" s="245"/>
      <c r="E8" s="246"/>
      <c r="F8" s="247"/>
      <c r="G8" s="248"/>
      <c r="H8" s="249"/>
      <c r="I8" s="230"/>
      <c r="J8" s="250"/>
      <c r="K8" s="86"/>
    </row>
    <row r="9" spans="1:11" x14ac:dyDescent="0.3">
      <c r="A9">
        <v>5</v>
      </c>
      <c r="B9" s="496"/>
      <c r="C9" s="90" t="s">
        <v>19</v>
      </c>
      <c r="D9" s="233"/>
      <c r="F9" s="235"/>
      <c r="G9" s="251"/>
      <c r="H9" s="237"/>
      <c r="I9" s="236"/>
      <c r="J9" s="238"/>
      <c r="K9" s="87"/>
    </row>
    <row r="10" spans="1:11" ht="15" thickBot="1" x14ac:dyDescent="0.35">
      <c r="A10">
        <v>6</v>
      </c>
      <c r="B10" s="497"/>
      <c r="C10" s="88" t="s">
        <v>20</v>
      </c>
      <c r="D10" s="239"/>
      <c r="E10" s="234"/>
      <c r="F10" s="241"/>
      <c r="G10" s="242"/>
      <c r="H10" s="243"/>
      <c r="I10" s="242"/>
      <c r="J10" s="244"/>
      <c r="K10" s="88"/>
    </row>
    <row r="11" spans="1:11" ht="15" thickTop="1" x14ac:dyDescent="0.3">
      <c r="A11">
        <v>7</v>
      </c>
      <c r="B11" s="495" t="s">
        <v>8</v>
      </c>
      <c r="C11" s="86" t="s">
        <v>21</v>
      </c>
      <c r="D11" s="245"/>
      <c r="E11" s="246"/>
      <c r="F11" s="247"/>
      <c r="G11" s="230"/>
      <c r="H11" s="249"/>
      <c r="I11" s="230"/>
      <c r="J11" s="250"/>
      <c r="K11" s="86"/>
    </row>
    <row r="12" spans="1:11" x14ac:dyDescent="0.3">
      <c r="A12">
        <v>8</v>
      </c>
      <c r="B12" s="496"/>
      <c r="C12" s="91" t="s">
        <v>22</v>
      </c>
      <c r="D12" s="252"/>
      <c r="E12" s="253"/>
      <c r="F12" s="254"/>
      <c r="G12" s="255"/>
      <c r="H12" s="256"/>
      <c r="I12" s="257"/>
      <c r="J12" s="258"/>
      <c r="K12" s="259"/>
    </row>
    <row r="13" spans="1:11" x14ac:dyDescent="0.3">
      <c r="A13">
        <v>9</v>
      </c>
      <c r="B13" s="496"/>
      <c r="C13" s="91" t="s">
        <v>67</v>
      </c>
      <c r="D13" s="282"/>
      <c r="E13" s="283"/>
      <c r="F13" s="284"/>
      <c r="G13" s="270"/>
      <c r="H13" s="285"/>
      <c r="I13" s="286"/>
      <c r="J13" s="271"/>
      <c r="K13" s="272"/>
    </row>
    <row r="14" spans="1:11" x14ac:dyDescent="0.3">
      <c r="A14">
        <v>10</v>
      </c>
      <c r="B14" s="496"/>
      <c r="C14" s="91" t="s">
        <v>65</v>
      </c>
      <c r="D14" s="282"/>
      <c r="E14" s="283"/>
      <c r="F14" s="284"/>
      <c r="G14" s="270"/>
      <c r="H14" s="285"/>
      <c r="I14" s="286"/>
      <c r="J14" s="271"/>
      <c r="K14" s="272"/>
    </row>
    <row r="15" spans="1:11" ht="15" thickBot="1" x14ac:dyDescent="0.35">
      <c r="A15">
        <v>11</v>
      </c>
      <c r="B15" s="497"/>
      <c r="C15" s="88" t="s">
        <v>66</v>
      </c>
      <c r="D15" s="260"/>
      <c r="E15" s="261"/>
      <c r="F15" s="262"/>
      <c r="G15" s="263"/>
      <c r="H15" s="264"/>
      <c r="I15" s="263"/>
      <c r="J15" s="265"/>
      <c r="K15" s="266"/>
    </row>
    <row r="16" spans="1:11" ht="15" thickTop="1" x14ac:dyDescent="0.3">
      <c r="A16">
        <v>12</v>
      </c>
      <c r="B16" s="495" t="s">
        <v>24</v>
      </c>
      <c r="C16" s="87" t="s">
        <v>25</v>
      </c>
      <c r="D16" s="233"/>
      <c r="E16" s="234"/>
      <c r="F16" s="235"/>
      <c r="G16" s="236"/>
      <c r="H16" s="237"/>
      <c r="I16" s="236"/>
      <c r="J16" s="238"/>
      <c r="K16" s="87"/>
    </row>
    <row r="17" spans="1:11" x14ac:dyDescent="0.3">
      <c r="A17">
        <v>13</v>
      </c>
      <c r="B17" s="496"/>
      <c r="C17" s="87" t="s">
        <v>68</v>
      </c>
      <c r="D17" s="287"/>
      <c r="E17" s="288"/>
      <c r="F17" s="289"/>
      <c r="G17" s="267"/>
      <c r="H17" s="290"/>
      <c r="I17" s="267"/>
      <c r="J17" s="291"/>
      <c r="K17" s="91"/>
    </row>
    <row r="18" spans="1:11" x14ac:dyDescent="0.3">
      <c r="A18">
        <v>14</v>
      </c>
      <c r="B18" s="496"/>
      <c r="C18" s="87" t="s">
        <v>69</v>
      </c>
      <c r="D18" s="287"/>
      <c r="E18" s="288"/>
      <c r="F18" s="289"/>
      <c r="G18" s="267"/>
      <c r="H18" s="290"/>
      <c r="I18" s="267"/>
      <c r="J18" s="291"/>
      <c r="K18" s="91"/>
    </row>
    <row r="19" spans="1:11" x14ac:dyDescent="0.3">
      <c r="A19">
        <v>15</v>
      </c>
      <c r="B19" s="496"/>
      <c r="C19" s="87" t="s">
        <v>70</v>
      </c>
      <c r="D19" s="287"/>
      <c r="E19" s="288"/>
      <c r="F19" s="289"/>
      <c r="G19" s="267"/>
      <c r="H19" s="290"/>
      <c r="I19" s="267"/>
      <c r="J19" s="291"/>
      <c r="K19" s="91"/>
    </row>
    <row r="20" spans="1:11" ht="15" thickBot="1" x14ac:dyDescent="0.35">
      <c r="A20">
        <v>16</v>
      </c>
      <c r="B20" s="497"/>
      <c r="C20" s="88" t="s">
        <v>71</v>
      </c>
      <c r="D20" s="239"/>
      <c r="E20" s="240"/>
      <c r="F20" s="241"/>
      <c r="G20" s="242"/>
      <c r="H20" s="243"/>
      <c r="I20" s="242"/>
      <c r="J20" s="244"/>
      <c r="K20" s="88"/>
    </row>
    <row r="21" spans="1:11" ht="15" thickTop="1" x14ac:dyDescent="0.3">
      <c r="A21">
        <v>17</v>
      </c>
      <c r="B21" s="495" t="s">
        <v>11</v>
      </c>
      <c r="C21" s="86" t="s">
        <v>27</v>
      </c>
      <c r="D21" s="245"/>
      <c r="E21" s="246"/>
      <c r="F21" s="247"/>
      <c r="G21" s="230"/>
      <c r="H21" s="249"/>
      <c r="I21" s="230"/>
      <c r="J21" s="250"/>
      <c r="K21" s="86"/>
    </row>
    <row r="22" spans="1:11" x14ac:dyDescent="0.3">
      <c r="A22">
        <v>18</v>
      </c>
      <c r="B22" s="496"/>
      <c r="C22" s="86" t="s">
        <v>72</v>
      </c>
      <c r="D22" s="245"/>
      <c r="E22" s="246"/>
      <c r="F22" s="247"/>
      <c r="G22" s="230"/>
      <c r="H22" s="249"/>
      <c r="I22" s="230"/>
      <c r="J22" s="250"/>
      <c r="K22" s="86"/>
    </row>
    <row r="23" spans="1:11" x14ac:dyDescent="0.3">
      <c r="A23">
        <v>19</v>
      </c>
      <c r="B23" s="496"/>
      <c r="C23" s="86" t="s">
        <v>73</v>
      </c>
      <c r="D23" s="245"/>
      <c r="E23" s="246"/>
      <c r="F23" s="247"/>
      <c r="G23" s="230"/>
      <c r="H23" s="249"/>
      <c r="I23" s="230"/>
      <c r="J23" s="250"/>
      <c r="K23" s="86"/>
    </row>
    <row r="24" spans="1:11" x14ac:dyDescent="0.3">
      <c r="A24">
        <v>20</v>
      </c>
      <c r="B24" s="496"/>
      <c r="C24" s="86" t="s">
        <v>74</v>
      </c>
      <c r="D24" s="245"/>
      <c r="E24" s="246"/>
      <c r="F24" s="247"/>
      <c r="G24" s="230"/>
      <c r="H24" s="249"/>
      <c r="I24" s="230"/>
      <c r="J24" s="250"/>
      <c r="K24" s="86"/>
    </row>
    <row r="25" spans="1:11" x14ac:dyDescent="0.3">
      <c r="A25">
        <v>21</v>
      </c>
      <c r="B25" s="496"/>
      <c r="C25" s="86" t="s">
        <v>75</v>
      </c>
      <c r="D25" s="245"/>
      <c r="E25" s="246"/>
      <c r="F25" s="247"/>
      <c r="G25" s="230"/>
      <c r="H25" s="249"/>
      <c r="I25" s="230"/>
      <c r="J25" s="250"/>
      <c r="K25" s="86"/>
    </row>
    <row r="26" spans="1:11" x14ac:dyDescent="0.3">
      <c r="A26">
        <v>22</v>
      </c>
      <c r="B26" s="496"/>
      <c r="C26" s="86" t="s">
        <v>28</v>
      </c>
      <c r="D26" s="233"/>
      <c r="E26" s="234"/>
      <c r="F26" s="235"/>
      <c r="G26" s="236"/>
      <c r="H26" s="237"/>
      <c r="I26" s="236"/>
      <c r="J26" s="238"/>
      <c r="K26" s="87"/>
    </row>
    <row r="27" spans="1:11" ht="15" thickBot="1" x14ac:dyDescent="0.35">
      <c r="A27">
        <v>23</v>
      </c>
      <c r="B27" s="497"/>
      <c r="C27" s="88" t="s">
        <v>29</v>
      </c>
      <c r="D27" s="239"/>
      <c r="E27" s="240"/>
      <c r="F27" s="241"/>
      <c r="G27" s="242"/>
      <c r="H27" s="243"/>
      <c r="I27" s="242"/>
      <c r="J27" s="244"/>
      <c r="K27" s="88"/>
    </row>
    <row r="28" spans="1:11" ht="15" thickTop="1" x14ac:dyDescent="0.3">
      <c r="A28">
        <v>24</v>
      </c>
      <c r="B28" s="495" t="s">
        <v>12</v>
      </c>
      <c r="C28" s="90" t="s">
        <v>30</v>
      </c>
      <c r="D28" s="245"/>
      <c r="E28" s="246"/>
      <c r="F28" s="247"/>
      <c r="G28" s="230"/>
      <c r="H28" s="249"/>
      <c r="I28" s="230"/>
      <c r="J28" s="250"/>
      <c r="K28" s="86"/>
    </row>
    <row r="29" spans="1:11" x14ac:dyDescent="0.3">
      <c r="A29">
        <v>25</v>
      </c>
      <c r="B29" s="496"/>
      <c r="C29" s="87" t="s">
        <v>31</v>
      </c>
      <c r="D29" s="236"/>
      <c r="E29" s="234"/>
      <c r="F29" s="235"/>
      <c r="G29" s="236"/>
      <c r="H29" s="237"/>
      <c r="I29" s="236"/>
      <c r="J29" s="238"/>
      <c r="K29" s="87"/>
    </row>
    <row r="30" spans="1:11" ht="15" thickBot="1" x14ac:dyDescent="0.35">
      <c r="A30">
        <v>26</v>
      </c>
      <c r="B30" s="497"/>
      <c r="C30" s="88" t="s">
        <v>32</v>
      </c>
      <c r="D30" s="242"/>
      <c r="E30" s="240"/>
      <c r="F30" s="241"/>
      <c r="G30" s="242"/>
      <c r="H30" s="243"/>
      <c r="I30" s="242"/>
      <c r="J30" s="244"/>
      <c r="K30" s="88"/>
    </row>
    <row r="31" spans="1:11" ht="15" thickTop="1" x14ac:dyDescent="0.3">
      <c r="A31">
        <v>27</v>
      </c>
      <c r="B31" s="495" t="s">
        <v>6</v>
      </c>
      <c r="C31" s="86" t="s">
        <v>33</v>
      </c>
      <c r="D31" s="230"/>
      <c r="E31" s="246"/>
      <c r="F31" s="247"/>
      <c r="G31" s="230"/>
      <c r="H31" s="249"/>
      <c r="I31" s="230"/>
      <c r="J31" s="250"/>
      <c r="K31" s="86"/>
    </row>
    <row r="32" spans="1:11" x14ac:dyDescent="0.3">
      <c r="A32">
        <v>28</v>
      </c>
      <c r="B32" s="496"/>
      <c r="C32" s="87" t="s">
        <v>34</v>
      </c>
      <c r="D32" s="236"/>
      <c r="E32" s="234"/>
      <c r="F32" s="235"/>
      <c r="G32" s="236"/>
      <c r="H32" s="237"/>
      <c r="I32" s="236"/>
      <c r="J32" s="238"/>
      <c r="K32" s="87"/>
    </row>
    <row r="33" spans="1:11" ht="15" thickBot="1" x14ac:dyDescent="0.35">
      <c r="A33">
        <v>29</v>
      </c>
      <c r="B33" s="497"/>
      <c r="C33" s="88" t="s">
        <v>35</v>
      </c>
      <c r="D33" s="242"/>
      <c r="E33" s="240"/>
      <c r="F33" s="241"/>
      <c r="G33" s="242"/>
      <c r="H33" s="243"/>
      <c r="I33" s="242"/>
      <c r="J33" s="244"/>
      <c r="K33" s="88"/>
    </row>
    <row r="34" spans="1:11" ht="15" thickTop="1" x14ac:dyDescent="0.3">
      <c r="A34">
        <v>30</v>
      </c>
      <c r="B34" s="495" t="s">
        <v>7</v>
      </c>
      <c r="C34" s="90" t="s">
        <v>36</v>
      </c>
      <c r="D34" s="230"/>
      <c r="E34" s="246"/>
      <c r="F34" s="247"/>
      <c r="G34" s="230"/>
      <c r="H34" s="249"/>
      <c r="I34" s="230"/>
      <c r="J34" s="250"/>
      <c r="K34" s="86"/>
    </row>
    <row r="35" spans="1:11" x14ac:dyDescent="0.3">
      <c r="A35">
        <v>31</v>
      </c>
      <c r="B35" s="496"/>
      <c r="C35" s="297" t="s">
        <v>37</v>
      </c>
      <c r="D35" s="230"/>
      <c r="E35" s="246"/>
      <c r="F35" s="247"/>
      <c r="G35" s="230"/>
      <c r="H35" s="249"/>
      <c r="I35" s="230"/>
      <c r="J35" s="250"/>
      <c r="K35" s="86"/>
    </row>
    <row r="36" spans="1:11" x14ac:dyDescent="0.3">
      <c r="A36">
        <v>32</v>
      </c>
      <c r="B36" s="496"/>
      <c r="C36" s="298" t="s">
        <v>76</v>
      </c>
      <c r="D36" s="236"/>
      <c r="E36" s="234"/>
      <c r="F36" s="235"/>
      <c r="G36" s="236"/>
      <c r="H36" s="237"/>
      <c r="I36" s="236"/>
      <c r="J36" s="238"/>
      <c r="K36" s="87"/>
    </row>
    <row r="37" spans="1:11" x14ac:dyDescent="0.3">
      <c r="A37">
        <v>33</v>
      </c>
      <c r="B37" s="496"/>
      <c r="C37" s="298" t="s">
        <v>76</v>
      </c>
      <c r="D37" s="236"/>
      <c r="E37" s="234"/>
      <c r="F37" s="235"/>
      <c r="G37" s="236"/>
      <c r="H37" s="237"/>
      <c r="I37" s="236"/>
      <c r="J37" s="238"/>
      <c r="K37" s="87"/>
    </row>
    <row r="38" spans="1:11" x14ac:dyDescent="0.3">
      <c r="A38">
        <v>34</v>
      </c>
      <c r="B38" s="496"/>
      <c r="C38" s="90" t="s">
        <v>77</v>
      </c>
      <c r="D38" s="292"/>
      <c r="E38" s="293"/>
      <c r="F38" s="294"/>
      <c r="G38" s="292"/>
      <c r="H38" s="295"/>
      <c r="I38" s="292"/>
      <c r="J38" s="296"/>
      <c r="K38" s="90"/>
    </row>
    <row r="39" spans="1:11" ht="15" thickBot="1" x14ac:dyDescent="0.35">
      <c r="A39">
        <v>35</v>
      </c>
      <c r="B39" s="497"/>
      <c r="C39" s="92" t="s">
        <v>78</v>
      </c>
      <c r="D39" s="242"/>
      <c r="E39" s="240"/>
      <c r="F39" s="241"/>
      <c r="G39" s="242"/>
      <c r="H39" s="243"/>
      <c r="I39" s="242"/>
      <c r="J39" s="244"/>
      <c r="K39" s="88"/>
    </row>
    <row r="40" spans="1:11" ht="15" thickTop="1" x14ac:dyDescent="0.3">
      <c r="A40">
        <v>36</v>
      </c>
      <c r="B40" s="80"/>
      <c r="C40" s="274" t="s">
        <v>38</v>
      </c>
      <c r="D40" s="270"/>
      <c r="E40" s="268"/>
      <c r="F40" s="269"/>
      <c r="G40" s="270"/>
      <c r="H40" s="273"/>
      <c r="I40" s="270"/>
      <c r="J40" s="271"/>
      <c r="K40" s="272"/>
    </row>
    <row r="41" spans="1:11" x14ac:dyDescent="0.3">
      <c r="A41">
        <v>37</v>
      </c>
      <c r="B41" s="99"/>
      <c r="C41" s="163" t="s">
        <v>43</v>
      </c>
      <c r="D41" s="255"/>
      <c r="E41" s="256"/>
      <c r="F41" s="275"/>
      <c r="G41" s="255"/>
      <c r="H41" s="256"/>
      <c r="I41" s="255"/>
      <c r="J41" s="278"/>
      <c r="K41" s="279"/>
    </row>
    <row r="42" spans="1:11" x14ac:dyDescent="0.3">
      <c r="A42">
        <v>38</v>
      </c>
      <c r="B42" s="99"/>
      <c r="C42" s="163" t="s">
        <v>44</v>
      </c>
      <c r="D42" s="255"/>
      <c r="E42" s="256"/>
      <c r="F42" s="276"/>
      <c r="G42" s="277"/>
      <c r="H42" s="256"/>
      <c r="I42" s="255"/>
      <c r="J42" s="278"/>
      <c r="K42" s="279"/>
    </row>
  </sheetData>
  <mergeCells count="13">
    <mergeCell ref="B5:B7"/>
    <mergeCell ref="C1:C3"/>
    <mergeCell ref="D1:F1"/>
    <mergeCell ref="G1:J1"/>
    <mergeCell ref="D2:E2"/>
    <mergeCell ref="G2:H2"/>
    <mergeCell ref="B34:B39"/>
    <mergeCell ref="B8:B10"/>
    <mergeCell ref="B11:B15"/>
    <mergeCell ref="B16:B20"/>
    <mergeCell ref="B21:B27"/>
    <mergeCell ref="B28:B30"/>
    <mergeCell ref="B31:B33"/>
  </mergeCells>
  <pageMargins left="0.7" right="0.7" top="0.75" bottom="0.75" header="0.3" footer="0.3"/>
  <pageSetup scale="9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Cross Resistance Streaking</vt:lpstr>
      <vt:lpstr>Spot Plating Cross Resistance</vt:lpstr>
      <vt:lpstr>Titering</vt:lpstr>
      <vt:lpstr>TMTC Titering</vt:lpstr>
      <vt:lpstr>Printing Page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Emma (espencer@uidaho.edu)</dc:creator>
  <cp:lastModifiedBy>Spencer, Emma (espencer@uidaho.edu)</cp:lastModifiedBy>
  <cp:lastPrinted>2022-11-21T16:08:05Z</cp:lastPrinted>
  <dcterms:created xsi:type="dcterms:W3CDTF">2022-10-25T20:21:50Z</dcterms:created>
  <dcterms:modified xsi:type="dcterms:W3CDTF">2022-12-28T22:23:07Z</dcterms:modified>
</cp:coreProperties>
</file>