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vanleuven/MyDrive/projects/bees/Resistant_host_project_emma/RProj_resistance/rawdata/"/>
    </mc:Choice>
  </mc:AlternateContent>
  <xr:revisionPtr revIDLastSave="0" documentId="13_ncr:1_{E1001704-4522-F840-A409-E709E8B8DFBD}" xr6:coauthVersionLast="47" xr6:coauthVersionMax="47" xr10:uidLastSave="{00000000-0000-0000-0000-000000000000}"/>
  <bookViews>
    <workbookView xWindow="0" yWindow="760" windowWidth="30240" windowHeight="17740" activeTab="2" xr2:uid="{00000000-000D-0000-FFFF-FFFF00000000}"/>
  </bookViews>
  <sheets>
    <sheet name="Full Spread Sheet" sheetId="1" r:id="rId1"/>
    <sheet name="Abbreviated " sheetId="2" r:id="rId2"/>
    <sheet name="OnOneHost" sheetId="4" r:id="rId3"/>
    <sheet name="CrossHostEOP" sheetId="5" r:id="rId4"/>
    <sheet name="CrossHostSurvivorEOP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+rnUYqE37kfL2Zx2P8MD9mHM9B6TbMZSB94rI7j/otE="/>
    </ext>
  </extLst>
</workbook>
</file>

<file path=xl/calcChain.xml><?xml version="1.0" encoding="utf-8"?>
<calcChain xmlns="http://schemas.openxmlformats.org/spreadsheetml/2006/main">
  <c r="H2" i="5" l="1"/>
  <c r="G65" i="5"/>
  <c r="F65" i="5"/>
  <c r="B65" i="5"/>
  <c r="B64" i="5"/>
  <c r="F64" i="5" s="1"/>
  <c r="G64" i="5" s="1"/>
  <c r="C63" i="5"/>
  <c r="F63" i="5" s="1"/>
  <c r="G63" i="5" s="1"/>
  <c r="B63" i="5"/>
  <c r="F62" i="5"/>
  <c r="G62" i="5" s="1"/>
  <c r="B62" i="5"/>
  <c r="F61" i="5"/>
  <c r="G61" i="5" s="1"/>
  <c r="B61" i="5"/>
  <c r="B60" i="5"/>
  <c r="F60" i="5" s="1"/>
  <c r="G60" i="5" s="1"/>
  <c r="B59" i="5"/>
  <c r="F59" i="5" s="1"/>
  <c r="G59" i="5" s="1"/>
  <c r="F58" i="5"/>
  <c r="G58" i="5" s="1"/>
  <c r="B58" i="5"/>
  <c r="F57" i="5"/>
  <c r="G57" i="5" s="1"/>
  <c r="B57" i="5"/>
  <c r="F56" i="5"/>
  <c r="G56" i="5" s="1"/>
  <c r="B56" i="5"/>
  <c r="B55" i="5"/>
  <c r="F55" i="5" s="1"/>
  <c r="G55" i="5" s="1"/>
  <c r="B54" i="5"/>
  <c r="F54" i="5" s="1"/>
  <c r="G54" i="5" s="1"/>
  <c r="F53" i="5"/>
  <c r="G53" i="5" s="1"/>
  <c r="B53" i="5"/>
  <c r="F52" i="5"/>
  <c r="G52" i="5" s="1"/>
  <c r="B52" i="5"/>
  <c r="F51" i="5"/>
  <c r="G51" i="5" s="1"/>
  <c r="B51" i="5"/>
  <c r="B50" i="5"/>
  <c r="F50" i="5" s="1"/>
  <c r="G50" i="5" s="1"/>
  <c r="B49" i="5"/>
  <c r="F49" i="5" s="1"/>
  <c r="G49" i="5" s="1"/>
  <c r="F48" i="5"/>
  <c r="G48" i="5" s="1"/>
  <c r="B48" i="5"/>
  <c r="F47" i="5"/>
  <c r="G47" i="5" s="1"/>
  <c r="B47" i="5"/>
  <c r="F46" i="5"/>
  <c r="G46" i="5" s="1"/>
  <c r="B46" i="5"/>
  <c r="B45" i="5"/>
  <c r="F45" i="5" s="1"/>
  <c r="G45" i="5" s="1"/>
  <c r="C44" i="5"/>
  <c r="F44" i="5" s="1"/>
  <c r="G44" i="5" s="1"/>
  <c r="B44" i="5"/>
  <c r="G43" i="5"/>
  <c r="F43" i="5"/>
  <c r="C43" i="5"/>
  <c r="B43" i="5"/>
  <c r="C42" i="5"/>
  <c r="F42" i="5" s="1"/>
  <c r="G42" i="5" s="1"/>
  <c r="H42" i="5" s="1"/>
  <c r="B42" i="5"/>
  <c r="G41" i="5"/>
  <c r="H43" i="5" s="1"/>
  <c r="F41" i="5"/>
  <c r="C41" i="5"/>
  <c r="B41" i="5"/>
  <c r="B40" i="5"/>
  <c r="F40" i="5" s="1"/>
  <c r="G40" i="5" s="1"/>
  <c r="F39" i="5"/>
  <c r="G39" i="5" s="1"/>
  <c r="B39" i="5"/>
  <c r="B38" i="5"/>
  <c r="F38" i="5" s="1"/>
  <c r="G38" i="5" s="1"/>
  <c r="F37" i="5"/>
  <c r="G37" i="5" s="1"/>
  <c r="B37" i="5"/>
  <c r="B36" i="5"/>
  <c r="F36" i="5" s="1"/>
  <c r="G36" i="5" s="1"/>
  <c r="B35" i="5"/>
  <c r="F35" i="5" s="1"/>
  <c r="G35" i="5" s="1"/>
  <c r="F34" i="5"/>
  <c r="G34" i="5" s="1"/>
  <c r="B34" i="5"/>
  <c r="B33" i="5"/>
  <c r="F33" i="5" s="1"/>
  <c r="G33" i="5" s="1"/>
  <c r="F32" i="5"/>
  <c r="G32" i="5" s="1"/>
  <c r="B32" i="5"/>
  <c r="B31" i="5"/>
  <c r="F31" i="5" s="1"/>
  <c r="G31" i="5" s="1"/>
  <c r="B30" i="5"/>
  <c r="F30" i="5" s="1"/>
  <c r="G30" i="5" s="1"/>
  <c r="F29" i="5"/>
  <c r="G29" i="5" s="1"/>
  <c r="B29" i="5"/>
  <c r="B28" i="5"/>
  <c r="F28" i="5" s="1"/>
  <c r="G28" i="5" s="1"/>
  <c r="F27" i="5"/>
  <c r="G27" i="5" s="1"/>
  <c r="B27" i="5"/>
  <c r="B26" i="5"/>
  <c r="F26" i="5" s="1"/>
  <c r="G26" i="5" s="1"/>
  <c r="C25" i="5"/>
  <c r="F25" i="5" s="1"/>
  <c r="G25" i="5" s="1"/>
  <c r="B25" i="5"/>
  <c r="G24" i="5"/>
  <c r="F24" i="5"/>
  <c r="B24" i="5"/>
  <c r="F23" i="5"/>
  <c r="G23" i="5" s="1"/>
  <c r="B23" i="5"/>
  <c r="B22" i="5"/>
  <c r="F22" i="5" s="1"/>
  <c r="G22" i="5" s="1"/>
  <c r="B21" i="5"/>
  <c r="F21" i="5" s="1"/>
  <c r="G21" i="5" s="1"/>
  <c r="B20" i="5"/>
  <c r="F20" i="5" s="1"/>
  <c r="G20" i="5" s="1"/>
  <c r="G19" i="5"/>
  <c r="F19" i="5"/>
  <c r="B19" i="5"/>
  <c r="F18" i="5"/>
  <c r="G18" i="5" s="1"/>
  <c r="B18" i="5"/>
  <c r="B17" i="5"/>
  <c r="F17" i="5" s="1"/>
  <c r="G17" i="5" s="1"/>
  <c r="C16" i="5"/>
  <c r="F16" i="5" s="1"/>
  <c r="G16" i="5" s="1"/>
  <c r="B16" i="5"/>
  <c r="F15" i="5"/>
  <c r="G15" i="5" s="1"/>
  <c r="B15" i="5"/>
  <c r="C14" i="5"/>
  <c r="F14" i="5" s="1"/>
  <c r="G14" i="5" s="1"/>
  <c r="B14" i="5"/>
  <c r="B13" i="5"/>
  <c r="F13" i="5" s="1"/>
  <c r="G13" i="5" s="1"/>
  <c r="G12" i="5"/>
  <c r="F12" i="5"/>
  <c r="B12" i="5"/>
  <c r="F11" i="5"/>
  <c r="G11" i="5" s="1"/>
  <c r="B11" i="5"/>
  <c r="B10" i="5"/>
  <c r="F10" i="5" s="1"/>
  <c r="G10" i="5" s="1"/>
  <c r="B9" i="5"/>
  <c r="F9" i="5" s="1"/>
  <c r="G9" i="5" s="1"/>
  <c r="B8" i="5"/>
  <c r="F8" i="5" s="1"/>
  <c r="G8" i="5" s="1"/>
  <c r="G7" i="5"/>
  <c r="F7" i="5"/>
  <c r="B7" i="5"/>
  <c r="F6" i="5"/>
  <c r="G6" i="5" s="1"/>
  <c r="B6" i="5"/>
  <c r="B5" i="5"/>
  <c r="F5" i="5" s="1"/>
  <c r="G5" i="5" s="1"/>
  <c r="B4" i="5"/>
  <c r="F4" i="5" s="1"/>
  <c r="G4" i="5" s="1"/>
  <c r="B3" i="5"/>
  <c r="F3" i="5" s="1"/>
  <c r="G3" i="5" s="1"/>
  <c r="H3" i="5" s="1"/>
  <c r="G2" i="5"/>
  <c r="F2" i="5"/>
  <c r="B2" i="5"/>
  <c r="B37" i="4"/>
  <c r="C36" i="4"/>
  <c r="B36" i="4"/>
  <c r="B35" i="4"/>
  <c r="C34" i="4"/>
  <c r="B34" i="4"/>
  <c r="B33" i="4"/>
  <c r="C32" i="4"/>
  <c r="B32" i="4"/>
  <c r="B31" i="4"/>
  <c r="C30" i="4"/>
  <c r="B30" i="4"/>
  <c r="B29" i="4"/>
  <c r="C28" i="4"/>
  <c r="B28" i="4"/>
  <c r="C27" i="4"/>
  <c r="B27" i="4"/>
  <c r="C26" i="4"/>
  <c r="B26" i="4"/>
  <c r="C25" i="4"/>
  <c r="B25" i="4"/>
  <c r="C24" i="4"/>
  <c r="B24" i="4"/>
  <c r="B23" i="4"/>
  <c r="C22" i="4"/>
  <c r="B22" i="4"/>
  <c r="B21" i="4"/>
  <c r="C20" i="4"/>
  <c r="B20" i="4"/>
  <c r="C19" i="4"/>
  <c r="B19" i="4"/>
  <c r="C18" i="4"/>
  <c r="B18" i="4"/>
  <c r="B17" i="4"/>
  <c r="C16" i="4"/>
  <c r="B16" i="4"/>
  <c r="C15" i="4"/>
  <c r="B15" i="4"/>
  <c r="C14" i="4"/>
  <c r="B14" i="4"/>
  <c r="B13" i="4"/>
  <c r="C12" i="4"/>
  <c r="B11" i="4"/>
  <c r="C10" i="4"/>
  <c r="B10" i="4"/>
  <c r="B9" i="4"/>
  <c r="C8" i="4"/>
  <c r="B8" i="4"/>
  <c r="B7" i="4"/>
  <c r="C6" i="4"/>
  <c r="B5" i="4"/>
  <c r="C4" i="4"/>
  <c r="B4" i="4"/>
  <c r="B3" i="4"/>
  <c r="C2" i="4"/>
  <c r="B2" i="4"/>
  <c r="F124" i="2"/>
  <c r="E124" i="2"/>
  <c r="D124" i="2"/>
  <c r="C124" i="2"/>
  <c r="J123" i="2"/>
  <c r="I123" i="2"/>
  <c r="H123" i="2"/>
  <c r="G123" i="2"/>
  <c r="F123" i="2"/>
  <c r="E123" i="2"/>
  <c r="D123" i="2"/>
  <c r="C123" i="2"/>
  <c r="F120" i="2"/>
  <c r="E120" i="2"/>
  <c r="D120" i="2"/>
  <c r="C120" i="2"/>
  <c r="H119" i="2"/>
  <c r="G119" i="2"/>
  <c r="F119" i="2"/>
  <c r="E119" i="2"/>
  <c r="D119" i="2"/>
  <c r="C119" i="2"/>
  <c r="G116" i="2"/>
  <c r="F116" i="2"/>
  <c r="E116" i="2"/>
  <c r="C116" i="2"/>
  <c r="L115" i="2"/>
  <c r="K115" i="2"/>
  <c r="J115" i="2"/>
  <c r="I115" i="2"/>
  <c r="H115" i="2"/>
  <c r="G115" i="2"/>
  <c r="F115" i="2"/>
  <c r="E115" i="2"/>
  <c r="D115" i="2"/>
  <c r="C115" i="2"/>
  <c r="E112" i="2"/>
  <c r="D112" i="2"/>
  <c r="C112" i="2"/>
  <c r="H111" i="2"/>
  <c r="G111" i="2"/>
  <c r="F111" i="2"/>
  <c r="E111" i="2"/>
  <c r="D111" i="2"/>
  <c r="C111" i="2"/>
  <c r="D108" i="2"/>
  <c r="C108" i="2"/>
  <c r="F107" i="2"/>
  <c r="E107" i="2"/>
  <c r="D107" i="2"/>
  <c r="C107" i="2"/>
  <c r="E104" i="2"/>
  <c r="D104" i="2"/>
  <c r="C104" i="2"/>
  <c r="H103" i="2"/>
  <c r="G103" i="2"/>
  <c r="F103" i="2"/>
  <c r="E103" i="2"/>
  <c r="D103" i="2"/>
  <c r="C103" i="2"/>
  <c r="D99" i="2"/>
  <c r="D95" i="2"/>
  <c r="H92" i="2"/>
  <c r="E92" i="2"/>
  <c r="D92" i="2"/>
  <c r="C92" i="2"/>
  <c r="H91" i="2"/>
  <c r="G91" i="2"/>
  <c r="F91" i="2"/>
  <c r="E91" i="2"/>
  <c r="D91" i="2"/>
  <c r="C91" i="2"/>
  <c r="H88" i="2"/>
  <c r="G88" i="2"/>
  <c r="F88" i="2"/>
  <c r="E88" i="2"/>
  <c r="D88" i="2"/>
  <c r="C88" i="2"/>
  <c r="H87" i="2"/>
  <c r="G87" i="2"/>
  <c r="F87" i="2"/>
  <c r="E87" i="2"/>
  <c r="D87" i="2"/>
  <c r="C87" i="2"/>
  <c r="E84" i="2"/>
  <c r="D84" i="2"/>
  <c r="C84" i="2"/>
  <c r="H83" i="2"/>
  <c r="G83" i="2"/>
  <c r="F83" i="2"/>
  <c r="E83" i="2"/>
  <c r="D83" i="2"/>
  <c r="C83" i="2"/>
  <c r="C80" i="2"/>
  <c r="D79" i="2"/>
  <c r="C79" i="2"/>
  <c r="C76" i="2"/>
  <c r="D75" i="2"/>
  <c r="C75" i="2"/>
  <c r="E72" i="2"/>
  <c r="D72" i="2"/>
  <c r="C72" i="2"/>
  <c r="H71" i="2"/>
  <c r="G71" i="2"/>
  <c r="F71" i="2"/>
  <c r="E71" i="2"/>
  <c r="D71" i="2"/>
  <c r="C71" i="2"/>
  <c r="D68" i="2"/>
  <c r="C68" i="2"/>
  <c r="F67" i="2"/>
  <c r="E67" i="2"/>
  <c r="D67" i="2"/>
  <c r="C67" i="2"/>
  <c r="I64" i="2"/>
  <c r="F64" i="2"/>
  <c r="E64" i="2"/>
  <c r="C64" i="2"/>
  <c r="J63" i="2"/>
  <c r="I63" i="2"/>
  <c r="H63" i="2"/>
  <c r="G63" i="2"/>
  <c r="F63" i="2"/>
  <c r="E63" i="2"/>
  <c r="C63" i="2"/>
  <c r="E60" i="2"/>
  <c r="D60" i="2"/>
  <c r="C60" i="2"/>
  <c r="H59" i="2"/>
  <c r="G59" i="2"/>
  <c r="F59" i="2"/>
  <c r="E59" i="2"/>
  <c r="D59" i="2"/>
  <c r="C59" i="2"/>
  <c r="E56" i="2"/>
  <c r="D56" i="2"/>
  <c r="C56" i="2"/>
  <c r="F55" i="2"/>
  <c r="E55" i="2"/>
  <c r="D55" i="2"/>
  <c r="C55" i="2"/>
  <c r="D52" i="2"/>
  <c r="C52" i="2"/>
  <c r="F51" i="2"/>
  <c r="E51" i="2"/>
  <c r="D51" i="2"/>
  <c r="C51" i="2"/>
  <c r="K48" i="2"/>
  <c r="G48" i="2"/>
  <c r="F48" i="2"/>
  <c r="E48" i="2"/>
  <c r="D48" i="2"/>
  <c r="C48" i="2"/>
  <c r="L47" i="2"/>
  <c r="K47" i="2"/>
  <c r="J47" i="2"/>
  <c r="I47" i="2"/>
  <c r="H47" i="2"/>
  <c r="G47" i="2"/>
  <c r="E47" i="2"/>
  <c r="C47" i="2"/>
  <c r="D44" i="2"/>
  <c r="C44" i="2"/>
  <c r="F43" i="2"/>
  <c r="E43" i="2"/>
  <c r="D43" i="2"/>
  <c r="C43" i="2"/>
  <c r="D40" i="2"/>
  <c r="C40" i="2"/>
  <c r="F39" i="2"/>
  <c r="E39" i="2"/>
  <c r="D39" i="2"/>
  <c r="C39" i="2"/>
  <c r="F36" i="2"/>
  <c r="E36" i="2"/>
  <c r="D36" i="2"/>
  <c r="C36" i="2"/>
  <c r="J35" i="2"/>
  <c r="I35" i="2"/>
  <c r="H35" i="2"/>
  <c r="G35" i="2"/>
  <c r="F35" i="2"/>
  <c r="E35" i="2"/>
  <c r="D35" i="2"/>
  <c r="C35" i="2"/>
  <c r="J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E28" i="2"/>
  <c r="D28" i="2"/>
  <c r="C28" i="2"/>
  <c r="H27" i="2"/>
  <c r="G27" i="2"/>
  <c r="F27" i="2"/>
  <c r="E27" i="2"/>
  <c r="D27" i="2"/>
  <c r="C27" i="2"/>
  <c r="D24" i="2"/>
  <c r="C24" i="2"/>
  <c r="F23" i="2"/>
  <c r="E23" i="2"/>
  <c r="C23" i="2"/>
  <c r="L20" i="2"/>
  <c r="K20" i="2"/>
  <c r="J20" i="2"/>
  <c r="I20" i="2"/>
  <c r="H20" i="2"/>
  <c r="G20" i="2"/>
  <c r="F20" i="2"/>
  <c r="E20" i="2"/>
  <c r="D20" i="2"/>
  <c r="C20" i="2"/>
  <c r="L19" i="2"/>
  <c r="K19" i="2"/>
  <c r="J19" i="2"/>
  <c r="I19" i="2"/>
  <c r="H19" i="2"/>
  <c r="G19" i="2"/>
  <c r="F19" i="2"/>
  <c r="E19" i="2"/>
  <c r="D19" i="2"/>
  <c r="C19" i="2"/>
  <c r="D16" i="2"/>
  <c r="C16" i="2"/>
  <c r="D15" i="2"/>
  <c r="C15" i="2"/>
  <c r="E12" i="2"/>
  <c r="D12" i="2"/>
  <c r="C12" i="2"/>
  <c r="H11" i="2"/>
  <c r="G11" i="2"/>
  <c r="F11" i="2"/>
  <c r="E11" i="2"/>
  <c r="C11" i="2"/>
  <c r="E8" i="2"/>
  <c r="D8" i="2"/>
  <c r="C8" i="2"/>
  <c r="H7" i="2"/>
  <c r="G7" i="2"/>
  <c r="F7" i="2"/>
  <c r="E7" i="2"/>
  <c r="D7" i="2"/>
  <c r="C7" i="2"/>
  <c r="E4" i="2"/>
  <c r="D4" i="2"/>
  <c r="C4" i="2"/>
  <c r="H3" i="2"/>
  <c r="G3" i="2"/>
  <c r="F3" i="2"/>
  <c r="E3" i="2"/>
  <c r="D3" i="2"/>
  <c r="C3" i="2"/>
  <c r="AH88" i="1"/>
  <c r="C88" i="1"/>
  <c r="AH87" i="1"/>
  <c r="C87" i="1"/>
  <c r="AG86" i="1"/>
  <c r="C86" i="1"/>
  <c r="AG85" i="1"/>
  <c r="C85" i="1"/>
  <c r="AG84" i="1"/>
  <c r="C84" i="1"/>
  <c r="AG83" i="1"/>
  <c r="C83" i="1"/>
  <c r="AF82" i="1"/>
  <c r="C82" i="1"/>
  <c r="AF81" i="1"/>
  <c r="C81" i="1"/>
  <c r="AF80" i="1"/>
  <c r="C80" i="1"/>
  <c r="AF79" i="1"/>
  <c r="C79" i="1"/>
  <c r="AE78" i="1"/>
  <c r="C78" i="1"/>
  <c r="AE77" i="1"/>
  <c r="C77" i="1"/>
  <c r="AE76" i="1"/>
  <c r="C76" i="1"/>
  <c r="AD75" i="1"/>
  <c r="C75" i="1"/>
  <c r="AD74" i="1"/>
  <c r="C74" i="1"/>
  <c r="AC73" i="1"/>
  <c r="C73" i="1"/>
  <c r="AC72" i="1"/>
  <c r="C72" i="1"/>
  <c r="AC71" i="1"/>
  <c r="C71" i="1"/>
  <c r="AB70" i="1"/>
  <c r="C70" i="1"/>
  <c r="AB69" i="1"/>
  <c r="C69" i="1"/>
  <c r="AB68" i="1"/>
  <c r="C68" i="1"/>
  <c r="AB67" i="1"/>
  <c r="C67" i="1"/>
  <c r="AA66" i="1"/>
  <c r="C66" i="1"/>
  <c r="AA65" i="1"/>
  <c r="C65" i="1"/>
  <c r="AA64" i="1"/>
  <c r="C64" i="1"/>
  <c r="Z63" i="1"/>
  <c r="C63" i="1"/>
  <c r="Z62" i="1"/>
  <c r="C62" i="1"/>
  <c r="Z61" i="1"/>
  <c r="C61" i="1"/>
  <c r="C60" i="1"/>
  <c r="Z59" i="1"/>
  <c r="C59" i="1"/>
  <c r="Y58" i="1"/>
  <c r="C58" i="1"/>
  <c r="X57" i="1"/>
  <c r="C57" i="1"/>
  <c r="W56" i="1"/>
  <c r="C56" i="1"/>
  <c r="W55" i="1"/>
  <c r="C55" i="1"/>
  <c r="W54" i="1"/>
  <c r="C54" i="1"/>
  <c r="V53" i="1"/>
  <c r="C53" i="1"/>
  <c r="V52" i="1"/>
  <c r="C52" i="1"/>
  <c r="V51" i="1"/>
  <c r="C51" i="1"/>
  <c r="U50" i="1"/>
  <c r="C50" i="1"/>
  <c r="U49" i="1"/>
  <c r="C49" i="1"/>
  <c r="U48" i="1"/>
  <c r="C48" i="1"/>
  <c r="T47" i="1"/>
  <c r="C47" i="1"/>
  <c r="T46" i="1"/>
  <c r="C46" i="1"/>
  <c r="T45" i="1"/>
  <c r="C45" i="1"/>
  <c r="S44" i="1"/>
  <c r="C44" i="1"/>
  <c r="S43" i="1"/>
  <c r="R42" i="1"/>
  <c r="C42" i="1"/>
  <c r="R41" i="1"/>
  <c r="C41" i="1"/>
  <c r="R40" i="1"/>
  <c r="C40" i="1"/>
  <c r="Q39" i="1"/>
  <c r="Q38" i="1"/>
  <c r="Q37" i="1"/>
  <c r="P36" i="1"/>
  <c r="C36" i="1"/>
  <c r="P35" i="1"/>
  <c r="C35" i="1"/>
  <c r="P34" i="1"/>
  <c r="C34" i="1"/>
  <c r="O33" i="1"/>
  <c r="C33" i="1"/>
  <c r="O32" i="1"/>
  <c r="C32" i="1"/>
  <c r="O31" i="1"/>
  <c r="C31" i="1"/>
  <c r="O30" i="1"/>
  <c r="C30" i="1"/>
  <c r="O29" i="1"/>
  <c r="C29" i="1"/>
  <c r="N28" i="1"/>
  <c r="C28" i="1"/>
  <c r="M27" i="1"/>
  <c r="C27" i="1"/>
  <c r="L26" i="1"/>
  <c r="C26" i="1"/>
  <c r="K25" i="1"/>
  <c r="C25" i="1"/>
  <c r="K24" i="1"/>
  <c r="C24" i="1"/>
  <c r="K23" i="1"/>
  <c r="C23" i="1"/>
  <c r="J22" i="1"/>
  <c r="C22" i="1"/>
  <c r="J21" i="1"/>
  <c r="C21" i="1"/>
  <c r="I20" i="1"/>
  <c r="C20" i="1"/>
  <c r="I19" i="1"/>
  <c r="C19" i="1"/>
  <c r="I17" i="1"/>
  <c r="C17" i="1"/>
  <c r="H16" i="1"/>
  <c r="C16" i="1"/>
  <c r="H15" i="1"/>
  <c r="C15" i="1"/>
  <c r="G14" i="1"/>
  <c r="G13" i="1"/>
  <c r="C13" i="1"/>
  <c r="G12" i="1"/>
  <c r="G11" i="1"/>
  <c r="C11" i="1"/>
  <c r="G10" i="1"/>
  <c r="C10" i="1"/>
  <c r="F9" i="1"/>
  <c r="C9" i="1"/>
  <c r="F8" i="1"/>
  <c r="C8" i="1"/>
  <c r="E7" i="1"/>
  <c r="C7" i="1"/>
  <c r="E6" i="1"/>
  <c r="C6" i="1"/>
  <c r="E5" i="1"/>
  <c r="C5" i="1"/>
  <c r="D4" i="1"/>
  <c r="C4" i="1"/>
  <c r="D3" i="1"/>
  <c r="C3" i="1"/>
  <c r="H9" i="5" l="1"/>
  <c r="H8" i="5"/>
  <c r="H26" i="5"/>
  <c r="H25" i="5"/>
  <c r="H27" i="5"/>
  <c r="H55" i="5"/>
  <c r="H57" i="5"/>
  <c r="H56" i="5"/>
  <c r="H58" i="5"/>
  <c r="H21" i="5"/>
  <c r="H20" i="5"/>
  <c r="H22" i="5"/>
  <c r="H50" i="5"/>
  <c r="H49" i="5"/>
  <c r="H12" i="5"/>
  <c r="H11" i="5"/>
  <c r="H10" i="5"/>
  <c r="H62" i="5"/>
  <c r="H63" i="5"/>
  <c r="H45" i="5"/>
  <c r="H44" i="5"/>
  <c r="H46" i="5"/>
  <c r="H35" i="5"/>
  <c r="H34" i="5"/>
  <c r="H7" i="5"/>
  <c r="H6" i="5"/>
  <c r="H5" i="5"/>
  <c r="H28" i="5"/>
  <c r="H30" i="5"/>
  <c r="H29" i="5"/>
  <c r="H52" i="5"/>
  <c r="H51" i="5"/>
  <c r="H19" i="5"/>
  <c r="H18" i="5"/>
  <c r="H17" i="5"/>
  <c r="H24" i="5"/>
  <c r="H23" i="5"/>
  <c r="H36" i="5"/>
  <c r="H37" i="5"/>
  <c r="H65" i="5"/>
  <c r="H64" i="5"/>
  <c r="H60" i="5"/>
  <c r="H59" i="5"/>
  <c r="H61" i="5"/>
  <c r="H14" i="5"/>
  <c r="H16" i="5"/>
  <c r="H13" i="5"/>
  <c r="H15" i="5"/>
  <c r="H31" i="5"/>
  <c r="H33" i="5"/>
  <c r="H32" i="5"/>
  <c r="H38" i="5"/>
  <c r="H40" i="5"/>
  <c r="H39" i="5"/>
  <c r="H47" i="5"/>
  <c r="H48" i="5"/>
  <c r="H54" i="5"/>
  <c r="H53" i="5"/>
  <c r="H4" i="5"/>
  <c r="H41" i="5"/>
</calcChain>
</file>

<file path=xl/sharedStrings.xml><?xml version="1.0" encoding="utf-8"?>
<sst xmlns="http://schemas.openxmlformats.org/spreadsheetml/2006/main" count="745" uniqueCount="222">
  <si>
    <t>Y3650</t>
  </si>
  <si>
    <t>F yb</t>
  </si>
  <si>
    <t xml:space="preserve">F x </t>
  </si>
  <si>
    <r>
      <rPr>
        <sz val="11"/>
        <color theme="1"/>
        <rFont val="Calibri"/>
        <family val="2"/>
      </rPr>
      <t xml:space="preserve">Hal </t>
    </r>
    <r>
      <rPr>
        <sz val="11"/>
        <color theme="1"/>
        <rFont val="Calibri"/>
        <family val="2"/>
      </rPr>
      <t>αb</t>
    </r>
  </si>
  <si>
    <r>
      <rPr>
        <sz val="11"/>
        <color theme="1"/>
        <rFont val="Calibri"/>
        <family val="2"/>
      </rPr>
      <t xml:space="preserve">Hal </t>
    </r>
    <r>
      <rPr>
        <sz val="11"/>
        <color theme="1"/>
        <rFont val="Calibri"/>
        <family val="2"/>
      </rPr>
      <t>βb</t>
    </r>
  </si>
  <si>
    <r>
      <rPr>
        <sz val="11"/>
        <color theme="1"/>
        <rFont val="Calibri"/>
        <family val="2"/>
      </rPr>
      <t xml:space="preserve">Hal </t>
    </r>
    <r>
      <rPr>
        <sz val="11"/>
        <color theme="1"/>
        <rFont val="Calibri"/>
        <family val="2"/>
      </rPr>
      <t>γb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</si>
  <si>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α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</si>
  <si>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</si>
  <si>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γ</t>
    </r>
  </si>
  <si>
    <t>Heath x</t>
  </si>
  <si>
    <t>Heath z</t>
  </si>
  <si>
    <r>
      <rPr>
        <sz val="11"/>
        <color theme="1"/>
        <rFont val="Calibri"/>
        <family val="2"/>
      </rPr>
      <t xml:space="preserve">Scot.Vx </t>
    </r>
    <r>
      <rPr>
        <sz val="11"/>
        <color theme="1"/>
        <rFont val="Calibri"/>
        <family val="2"/>
      </rPr>
      <t>α</t>
    </r>
  </si>
  <si>
    <r>
      <rPr>
        <sz val="11"/>
        <color theme="1"/>
        <rFont val="Calibri"/>
        <family val="2"/>
      </rPr>
      <t xml:space="preserve">Scot.Vx </t>
    </r>
    <r>
      <rPr>
        <sz val="11"/>
        <color theme="1"/>
        <rFont val="Calibri"/>
        <family val="2"/>
      </rPr>
      <t>β</t>
    </r>
  </si>
  <si>
    <t>Scot.Vx #1</t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</si>
  <si>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</si>
  <si>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γ</t>
    </r>
  </si>
  <si>
    <t>Scot r</t>
  </si>
  <si>
    <t>Scot t</t>
  </si>
  <si>
    <r>
      <rPr>
        <sz val="11"/>
        <color theme="1"/>
        <rFont val="Calibri"/>
        <family val="2"/>
      </rPr>
      <t xml:space="preserve">Unity </t>
    </r>
    <r>
      <rPr>
        <sz val="11"/>
        <color theme="1"/>
        <rFont val="Calibri"/>
        <family val="2"/>
      </rPr>
      <t>αb</t>
    </r>
  </si>
  <si>
    <t>Unity x</t>
  </si>
  <si>
    <t>Unity z</t>
  </si>
  <si>
    <t>Unity m</t>
  </si>
  <si>
    <t>Unity o</t>
  </si>
  <si>
    <r>
      <rPr>
        <sz val="11"/>
        <color theme="1"/>
        <rFont val="Calibri"/>
        <family val="2"/>
      </rPr>
      <t xml:space="preserve">V </t>
    </r>
    <r>
      <rPr>
        <sz val="11"/>
        <color theme="1"/>
        <rFont val="Calibri"/>
        <family val="2"/>
      </rPr>
      <t>αa</t>
    </r>
  </si>
  <si>
    <t>V x</t>
  </si>
  <si>
    <t>V y</t>
  </si>
  <si>
    <r>
      <rPr>
        <sz val="11"/>
        <color theme="1"/>
        <rFont val="Calibri"/>
        <family val="2"/>
      </rPr>
      <t xml:space="preserve">Wa </t>
    </r>
    <r>
      <rPr>
        <sz val="11"/>
        <color theme="1"/>
        <rFont val="Calibri"/>
        <family val="2"/>
      </rPr>
      <t>α</t>
    </r>
  </si>
  <si>
    <t>Wa x</t>
  </si>
  <si>
    <t>Wa z</t>
  </si>
  <si>
    <r>
      <rPr>
        <sz val="11"/>
        <color theme="1"/>
        <rFont val="Calibri"/>
        <family val="2"/>
      </rPr>
      <t xml:space="preserve">XIII </t>
    </r>
    <r>
      <rPr>
        <sz val="11"/>
        <color theme="1"/>
        <rFont val="Calibri"/>
        <family val="2"/>
      </rPr>
      <t>βa</t>
    </r>
  </si>
  <si>
    <r>
      <rPr>
        <sz val="11"/>
        <color theme="1"/>
        <rFont val="Calibri"/>
        <family val="2"/>
      </rPr>
      <t xml:space="preserve">XIII </t>
    </r>
    <r>
      <rPr>
        <sz val="11"/>
        <color theme="1"/>
        <rFont val="Calibri"/>
        <family val="2"/>
      </rPr>
      <t>βb</t>
    </r>
  </si>
  <si>
    <t>XIII z</t>
  </si>
  <si>
    <t>F yb - F</t>
  </si>
  <si>
    <t>F yb - Halcyone</t>
  </si>
  <si>
    <t>F x - F</t>
  </si>
  <si>
    <t>F x - Halcyone</t>
  </si>
  <si>
    <t>F x - Wa</t>
  </si>
  <si>
    <r>
      <rPr>
        <sz val="11"/>
        <color theme="1"/>
        <rFont val="Calibri"/>
        <family val="2"/>
      </rPr>
      <t xml:space="preserve">Hal </t>
    </r>
    <r>
      <rPr>
        <sz val="11"/>
        <color theme="1"/>
        <rFont val="Calibri"/>
        <family val="2"/>
      </rPr>
      <t>αb - Heath</t>
    </r>
  </si>
  <si>
    <t>Hal αb - Scottie</t>
  </si>
  <si>
    <r>
      <rPr>
        <sz val="11"/>
        <color theme="1"/>
        <rFont val="Calibri"/>
        <family val="2"/>
      </rPr>
      <t xml:space="preserve">Hal </t>
    </r>
    <r>
      <rPr>
        <sz val="11"/>
        <color theme="1"/>
        <rFont val="Calibri"/>
        <family val="2"/>
      </rPr>
      <t>βb</t>
    </r>
    <r>
      <rPr>
        <sz val="11"/>
        <color theme="1"/>
        <rFont val="Calibri"/>
        <family val="2"/>
      </rPr>
      <t xml:space="preserve"> - F</t>
    </r>
  </si>
  <si>
    <t>Hal βb - Wa</t>
  </si>
  <si>
    <t>Hal βb - Hal</t>
  </si>
  <si>
    <t>No plqs</t>
  </si>
  <si>
    <t>Hal βb - Scot</t>
  </si>
  <si>
    <t>Hal βb - Heath</t>
  </si>
  <si>
    <r>
      <rPr>
        <sz val="11"/>
        <color theme="1"/>
        <rFont val="Calibri"/>
        <family val="2"/>
      </rPr>
      <t xml:space="preserve">Hal </t>
    </r>
    <r>
      <rPr>
        <sz val="11"/>
        <color theme="1"/>
        <rFont val="Calibri"/>
        <family val="2"/>
      </rPr>
      <t>γb - Wa</t>
    </r>
  </si>
  <si>
    <t>Hal γb - F</t>
  </si>
  <si>
    <t>Heath α - Heath</t>
  </si>
  <si>
    <t>Heath α - Scot</t>
  </si>
  <si>
    <t>No Plqs</t>
  </si>
  <si>
    <t xml:space="preserve">Heath α - Unity </t>
  </si>
  <si>
    <t>Heath α - V</t>
  </si>
  <si>
    <t>Heath β - Scot</t>
  </si>
  <si>
    <t xml:space="preserve">Heath β - Unity </t>
  </si>
  <si>
    <t>Heath γ - Heath</t>
  </si>
  <si>
    <t>Heath γ - Scot</t>
  </si>
  <si>
    <t xml:space="preserve">Heath γ - Unity </t>
  </si>
  <si>
    <t>Heath x - Scot</t>
  </si>
  <si>
    <t>Heath z - Scot</t>
  </si>
  <si>
    <t>Scot.Vx α  - V</t>
  </si>
  <si>
    <t>Scot.Vx β - Scot</t>
  </si>
  <si>
    <t>Scot.Vx β - F</t>
  </si>
  <si>
    <t>Scot.Vx β - V</t>
  </si>
  <si>
    <t xml:space="preserve">Scot.Vx β - Unity </t>
  </si>
  <si>
    <t>Scot.Vx β - XIII</t>
  </si>
  <si>
    <t>Scot.Vx #1 - XIII</t>
  </si>
  <si>
    <t>Scot.Vx #1 - V</t>
  </si>
  <si>
    <t>Scot.Vx #1 - Heath</t>
  </si>
  <si>
    <t>Scot β - Scot</t>
  </si>
  <si>
    <t>Scot β - Unity</t>
  </si>
  <si>
    <t>Scot β - Heath</t>
  </si>
  <si>
    <t>no plqs</t>
  </si>
  <si>
    <t>Scot γ - Scot</t>
  </si>
  <si>
    <t xml:space="preserve">Scot γ - Unity </t>
  </si>
  <si>
    <t>Scot γ - Heath</t>
  </si>
  <si>
    <t>Scot r - Scot</t>
  </si>
  <si>
    <t>Scot r - Heath</t>
  </si>
  <si>
    <t>Scot t - Scot</t>
  </si>
  <si>
    <t>Scot t - Unity</t>
  </si>
  <si>
    <t>Scot t - Heath</t>
  </si>
  <si>
    <t>Unity αb - Scot</t>
  </si>
  <si>
    <t>Unity αb - Heath</t>
  </si>
  <si>
    <t xml:space="preserve">Unity αb - Unity </t>
  </si>
  <si>
    <t>Unity x - Scot</t>
  </si>
  <si>
    <t>Unity x - Heath</t>
  </si>
  <si>
    <t xml:space="preserve">Unity x - Unity </t>
  </si>
  <si>
    <t>Unity z - Scot</t>
  </si>
  <si>
    <t>Unity z - Heath</t>
  </si>
  <si>
    <t>Unity z - Unity</t>
  </si>
  <si>
    <t>Unity m - Scot</t>
  </si>
  <si>
    <t>Unity o - Scot</t>
  </si>
  <si>
    <t>V αa - F</t>
  </si>
  <si>
    <t>V αa - XIII</t>
  </si>
  <si>
    <t>V αa - Heath</t>
  </si>
  <si>
    <t>V αa - Scot</t>
  </si>
  <si>
    <t>V αa - V</t>
  </si>
  <si>
    <t>V x - XIII</t>
  </si>
  <si>
    <t>V x - Heath</t>
  </si>
  <si>
    <t>V x - V</t>
  </si>
  <si>
    <t>V y - F</t>
  </si>
  <si>
    <t>V y - XIII</t>
  </si>
  <si>
    <t>V y - Heath</t>
  </si>
  <si>
    <t>V y - V</t>
  </si>
  <si>
    <t>Wa α -F</t>
  </si>
  <si>
    <t>Wa α - Wa</t>
  </si>
  <si>
    <t>Wa α - Scot</t>
  </si>
  <si>
    <t>Wa x - F</t>
  </si>
  <si>
    <t>Wa x - Wa</t>
  </si>
  <si>
    <t>Wa z - Unity</t>
  </si>
  <si>
    <t>Wa z - Heath</t>
  </si>
  <si>
    <t>Wa z - Scot</t>
  </si>
  <si>
    <t>XIII βa - F</t>
  </si>
  <si>
    <t>XIII βa - Wa</t>
  </si>
  <si>
    <t>XIII βa - XIII</t>
  </si>
  <si>
    <t>XIII βa - Heath</t>
  </si>
  <si>
    <t>XIII βb - Wa</t>
  </si>
  <si>
    <t>XIII βb - Hal</t>
  </si>
  <si>
    <t>XIII βb - Scot</t>
  </si>
  <si>
    <t>XIII βb - Heath</t>
  </si>
  <si>
    <t>XIII z - V</t>
  </si>
  <si>
    <t>XIII z - Heath</t>
  </si>
  <si>
    <t>V</t>
  </si>
  <si>
    <t>XIII</t>
  </si>
  <si>
    <t>Heath</t>
  </si>
  <si>
    <t>TMTC</t>
  </si>
  <si>
    <t>Scot γ - Unity</t>
  </si>
  <si>
    <t>Scot</t>
  </si>
  <si>
    <t>Unity</t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</si>
  <si>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γ</t>
    </r>
  </si>
  <si>
    <t xml:space="preserve">Scot β - Unity </t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</si>
  <si>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β</t>
    </r>
  </si>
  <si>
    <t>Scot.Vx α - V</t>
  </si>
  <si>
    <r>
      <rPr>
        <sz val="11"/>
        <color theme="1"/>
        <rFont val="Calibri"/>
        <family val="2"/>
      </rPr>
      <t xml:space="preserve">Scot.Vx </t>
    </r>
    <r>
      <rPr>
        <sz val="11"/>
        <color theme="1"/>
        <rFont val="Calibri"/>
        <family val="2"/>
      </rPr>
      <t>α</t>
    </r>
  </si>
  <si>
    <t>Scot.Vx β - Unity</t>
  </si>
  <si>
    <t>F</t>
  </si>
  <si>
    <r>
      <rPr>
        <sz val="11"/>
        <color theme="1"/>
        <rFont val="Calibri"/>
        <family val="2"/>
      </rPr>
      <t xml:space="preserve">Scot.Vx </t>
    </r>
    <r>
      <rPr>
        <sz val="11"/>
        <color theme="1"/>
        <rFont val="Calibri"/>
        <family val="2"/>
      </rPr>
      <t>β</t>
    </r>
  </si>
  <si>
    <t xml:space="preserve">Scot t - Unity </t>
  </si>
  <si>
    <t>Wa</t>
  </si>
  <si>
    <r>
      <rPr>
        <sz val="11"/>
        <color theme="1"/>
        <rFont val="Calibri"/>
        <family val="2"/>
      </rPr>
      <t xml:space="preserve">XIII </t>
    </r>
    <r>
      <rPr>
        <sz val="11"/>
        <color theme="1"/>
        <rFont val="Calibri"/>
        <family val="2"/>
      </rPr>
      <t>βa</t>
    </r>
  </si>
  <si>
    <t>Hal</t>
  </si>
  <si>
    <t>XIII βb</t>
  </si>
  <si>
    <t>Hal αb - Scot</t>
  </si>
  <si>
    <t>Hal αb - Heath</t>
  </si>
  <si>
    <r>
      <rPr>
        <sz val="11"/>
        <color theme="1"/>
        <rFont val="Calibri"/>
        <family val="2"/>
      </rPr>
      <t xml:space="preserve">Hal </t>
    </r>
    <r>
      <rPr>
        <sz val="11"/>
        <color theme="1"/>
        <rFont val="Calibri"/>
        <family val="2"/>
      </rPr>
      <t>αb</t>
    </r>
  </si>
  <si>
    <t>Hal βb - F</t>
  </si>
  <si>
    <r>
      <rPr>
        <sz val="11"/>
        <color theme="1"/>
        <rFont val="Calibri"/>
        <family val="2"/>
      </rPr>
      <t xml:space="preserve">Hal </t>
    </r>
    <r>
      <rPr>
        <sz val="11"/>
        <color theme="1"/>
        <rFont val="Calibri"/>
        <family val="2"/>
      </rPr>
      <t>βb</t>
    </r>
  </si>
  <si>
    <t>/</t>
  </si>
  <si>
    <t>Hal γb - Wa</t>
  </si>
  <si>
    <r>
      <rPr>
        <sz val="11"/>
        <color theme="1"/>
        <rFont val="Calibri"/>
        <family val="2"/>
      </rPr>
      <t xml:space="preserve">Hal </t>
    </r>
    <r>
      <rPr>
        <sz val="11"/>
        <color theme="1"/>
        <rFont val="Calibri"/>
        <family val="2"/>
      </rPr>
      <t>γb</t>
    </r>
  </si>
  <si>
    <t>F γb - F</t>
  </si>
  <si>
    <t>F γb - Hal</t>
  </si>
  <si>
    <r>
      <rPr>
        <sz val="11"/>
        <color theme="1"/>
        <rFont val="Calibri"/>
        <family val="2"/>
      </rPr>
      <t xml:space="preserve">F </t>
    </r>
    <r>
      <rPr>
        <sz val="11"/>
        <color theme="1"/>
        <rFont val="Calibri"/>
        <family val="2"/>
      </rPr>
      <t>γb</t>
    </r>
  </si>
  <si>
    <t>F x - Hal</t>
  </si>
  <si>
    <t>F x</t>
  </si>
  <si>
    <t>Heath α - Unity</t>
  </si>
  <si>
    <t xml:space="preserve">Unity </t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</si>
  <si>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α</t>
    </r>
  </si>
  <si>
    <t>Heath β - Unity</t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</si>
  <si>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β</t>
    </r>
  </si>
  <si>
    <t>Heath γ - Unity</t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</si>
  <si>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γ</t>
    </r>
  </si>
  <si>
    <t>Unity ab</t>
  </si>
  <si>
    <t xml:space="preserve">Unity z - Unity </t>
  </si>
  <si>
    <t>Wa α - F</t>
  </si>
  <si>
    <r>
      <rPr>
        <sz val="11"/>
        <color theme="1"/>
        <rFont val="Calibri"/>
        <family val="2"/>
      </rPr>
      <t xml:space="preserve">Wa </t>
    </r>
    <r>
      <rPr>
        <sz val="11"/>
        <color theme="1"/>
        <rFont val="Calibri"/>
        <family val="2"/>
      </rPr>
      <t>α</t>
    </r>
  </si>
  <si>
    <t/>
  </si>
  <si>
    <t>Wa z -Heath</t>
  </si>
  <si>
    <t>V αa</t>
  </si>
  <si>
    <t>No plaques</t>
  </si>
  <si>
    <t>host</t>
  </si>
  <si>
    <t>titer3650</t>
  </si>
  <si>
    <t>resistantHost</t>
  </si>
  <si>
    <t>phage</t>
  </si>
  <si>
    <t>evolvedPlaque</t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</si>
  <si>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γ</t>
    </r>
  </si>
  <si>
    <t>y</t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</si>
  <si>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γ</t>
    </r>
  </si>
  <si>
    <t>n</t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</si>
  <si>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</si>
  <si>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</si>
  <si>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XIII </t>
    </r>
    <r>
      <rPr>
        <sz val="11"/>
        <color theme="1"/>
        <rFont val="Calibri"/>
        <family val="2"/>
      </rPr>
      <t>βa</t>
    </r>
  </si>
  <si>
    <r>
      <rPr>
        <sz val="11"/>
        <color theme="1"/>
        <rFont val="Calibri"/>
        <family val="2"/>
      </rPr>
      <t xml:space="preserve">XIII </t>
    </r>
    <r>
      <rPr>
        <sz val="11"/>
        <color theme="1"/>
        <rFont val="Calibri"/>
        <family val="2"/>
      </rPr>
      <t>βa</t>
    </r>
  </si>
  <si>
    <t>Hal βb</t>
  </si>
  <si>
    <r>
      <rPr>
        <sz val="11"/>
        <color theme="1"/>
        <rFont val="Calibri"/>
        <family val="2"/>
      </rPr>
      <t xml:space="preserve">F </t>
    </r>
    <r>
      <rPr>
        <sz val="11"/>
        <color theme="1"/>
        <rFont val="Calibri"/>
        <family val="2"/>
      </rPr>
      <t>γb</t>
    </r>
  </si>
  <si>
    <r>
      <rPr>
        <sz val="11"/>
        <color theme="1"/>
        <rFont val="Calibri"/>
        <family val="2"/>
      </rPr>
      <t xml:space="preserve">F </t>
    </r>
    <r>
      <rPr>
        <sz val="11"/>
        <color theme="1"/>
        <rFont val="Calibri"/>
        <family val="2"/>
      </rPr>
      <t>γb</t>
    </r>
  </si>
  <si>
    <t>Heath α</t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</si>
  <si>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γ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</si>
  <si>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γ</t>
    </r>
  </si>
  <si>
    <t>Unity αb</t>
  </si>
  <si>
    <t>Wa α</t>
  </si>
  <si>
    <t>relativeEOP</t>
  </si>
  <si>
    <t>logEOP</t>
  </si>
  <si>
    <t>diffFromAnc</t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</si>
  <si>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γ</t>
    </r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</si>
  <si>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γ</t>
    </r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</si>
  <si>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γ</t>
    </r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</si>
  <si>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</si>
  <si>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</si>
  <si>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Scot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</si>
  <si>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XIII </t>
    </r>
    <r>
      <rPr>
        <sz val="11"/>
        <color theme="1"/>
        <rFont val="Calibri"/>
        <family val="2"/>
      </rPr>
      <t>βa</t>
    </r>
  </si>
  <si>
    <r>
      <rPr>
        <sz val="11"/>
        <color theme="1"/>
        <rFont val="Calibri"/>
        <family val="2"/>
      </rPr>
      <t xml:space="preserve">XIII </t>
    </r>
    <r>
      <rPr>
        <sz val="11"/>
        <color theme="1"/>
        <rFont val="Calibri"/>
        <family val="2"/>
      </rPr>
      <t>βa</t>
    </r>
  </si>
  <si>
    <r>
      <rPr>
        <sz val="11"/>
        <color theme="1"/>
        <rFont val="Calibri"/>
        <family val="2"/>
      </rPr>
      <t xml:space="preserve">XIII </t>
    </r>
    <r>
      <rPr>
        <sz val="11"/>
        <color theme="1"/>
        <rFont val="Calibri"/>
        <family val="2"/>
      </rPr>
      <t>βa</t>
    </r>
  </si>
  <si>
    <r>
      <rPr>
        <sz val="11"/>
        <color theme="1"/>
        <rFont val="Calibri"/>
        <family val="2"/>
      </rPr>
      <t xml:space="preserve">XIII </t>
    </r>
    <r>
      <rPr>
        <sz val="11"/>
        <color theme="1"/>
        <rFont val="Calibri"/>
        <family val="2"/>
      </rPr>
      <t>βa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</si>
  <si>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α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</si>
  <si>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α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</si>
  <si>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α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</si>
  <si>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</si>
  <si>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</si>
  <si>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β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</si>
  <si>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γ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</si>
  <si>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γ</t>
    </r>
  </si>
  <si>
    <r>
      <rPr>
        <sz val="11"/>
        <color theme="1"/>
        <rFont val="Calibri"/>
        <family val="2"/>
      </rPr>
      <t xml:space="preserve">Heath </t>
    </r>
    <r>
      <rPr>
        <sz val="11"/>
        <color theme="1"/>
        <rFont val="Calibri"/>
        <family val="2"/>
      </rPr>
      <t>γ</t>
    </r>
  </si>
  <si>
    <r>
      <rPr>
        <sz val="11"/>
        <color theme="1"/>
        <rFont val="Calibri"/>
        <family val="2"/>
      </rPr>
      <t xml:space="preserve">Wa </t>
    </r>
    <r>
      <rPr>
        <sz val="11"/>
        <color theme="1"/>
        <rFont val="Calibri"/>
        <family val="2"/>
      </rPr>
      <t>α</t>
    </r>
  </si>
  <si>
    <r>
      <rPr>
        <sz val="11"/>
        <color theme="1"/>
        <rFont val="Calibri"/>
        <family val="2"/>
      </rPr>
      <t xml:space="preserve">Wa </t>
    </r>
    <r>
      <rPr>
        <sz val="11"/>
        <color theme="1"/>
        <rFont val="Calibri"/>
        <family val="2"/>
      </rPr>
      <t>α</t>
    </r>
  </si>
  <si>
    <t>challenge_phage</t>
  </si>
  <si>
    <t>alt_phage</t>
  </si>
  <si>
    <t>start</t>
  </si>
  <si>
    <t>end</t>
  </si>
  <si>
    <t>Scot γ</t>
  </si>
  <si>
    <t>Scot β</t>
  </si>
  <si>
    <t>XIII βa</t>
  </si>
  <si>
    <t>Heath 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</si>
</sst>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rgb="FF1F1F1F"/>
      <name val="&quot;Google Sans&quot;"/>
    </font>
    <font>
      <sz val="11"/>
      <color rgb="FF1F1F1F"/>
      <name val="&quot;Google Sans&quot;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11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11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1" fontId="1" fillId="0" borderId="5" xfId="0" applyNumberFormat="1" applyFont="1" applyBorder="1"/>
    <xf numFmtId="11" fontId="1" fillId="0" borderId="6" xfId="0" applyNumberFormat="1" applyFont="1" applyBorder="1"/>
    <xf numFmtId="11" fontId="1" fillId="0" borderId="7" xfId="0" applyNumberFormat="1" applyFont="1" applyBorder="1"/>
    <xf numFmtId="0" fontId="1" fillId="0" borderId="8" xfId="0" applyFont="1" applyBorder="1"/>
    <xf numFmtId="11" fontId="1" fillId="0" borderId="9" xfId="0" applyNumberFormat="1" applyFont="1" applyBorder="1"/>
    <xf numFmtId="11" fontId="1" fillId="0" borderId="10" xfId="0" applyNumberFormat="1" applyFont="1" applyBorder="1"/>
    <xf numFmtId="11" fontId="1" fillId="0" borderId="11" xfId="0" applyNumberFormat="1" applyFont="1" applyBorder="1"/>
    <xf numFmtId="11" fontId="1" fillId="0" borderId="10" xfId="0" applyNumberFormat="1" applyFont="1" applyBorder="1" applyAlignment="1">
      <alignment horizontal="center"/>
    </xf>
    <xf numFmtId="0" fontId="1" fillId="0" borderId="12" xfId="0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0" fontId="1" fillId="0" borderId="13" xfId="0" applyFont="1" applyBorder="1"/>
    <xf numFmtId="11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1" fontId="1" fillId="0" borderId="10" xfId="0" applyNumberFormat="1" applyFont="1" applyBorder="1" applyAlignment="1">
      <alignment horizontal="center"/>
    </xf>
    <xf numFmtId="0" fontId="1" fillId="0" borderId="0" xfId="0" applyFont="1"/>
    <xf numFmtId="0" fontId="1" fillId="0" borderId="17" xfId="0" applyFont="1" applyBorder="1"/>
    <xf numFmtId="11" fontId="1" fillId="0" borderId="14" xfId="0" applyNumberFormat="1" applyFont="1" applyBorder="1" applyAlignment="1">
      <alignment horizontal="center"/>
    </xf>
    <xf numFmtId="11" fontId="1" fillId="0" borderId="18" xfId="0" applyNumberFormat="1" applyFont="1" applyBorder="1"/>
    <xf numFmtId="11" fontId="1" fillId="0" borderId="19" xfId="0" applyNumberFormat="1" applyFont="1" applyBorder="1"/>
    <xf numFmtId="1" fontId="1" fillId="0" borderId="19" xfId="0" applyNumberFormat="1" applyFont="1" applyBorder="1"/>
    <xf numFmtId="11" fontId="1" fillId="0" borderId="20" xfId="0" applyNumberFormat="1" applyFont="1" applyBorder="1"/>
    <xf numFmtId="11" fontId="1" fillId="0" borderId="21" xfId="0" applyNumberFormat="1" applyFont="1" applyBorder="1"/>
    <xf numFmtId="11" fontId="1" fillId="0" borderId="22" xfId="0" applyNumberFormat="1" applyFont="1" applyBorder="1"/>
    <xf numFmtId="11" fontId="1" fillId="0" borderId="23" xfId="0" applyNumberFormat="1" applyFont="1" applyBorder="1"/>
    <xf numFmtId="0" fontId="1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1" fontId="1" fillId="0" borderId="28" xfId="0" applyNumberFormat="1" applyFont="1" applyBorder="1" applyAlignment="1">
      <alignment horizontal="center"/>
    </xf>
    <xf numFmtId="11" fontId="1" fillId="0" borderId="28" xfId="0" applyNumberFormat="1" applyFont="1" applyBorder="1"/>
    <xf numFmtId="0" fontId="1" fillId="0" borderId="29" xfId="0" applyFont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1" fontId="1" fillId="0" borderId="24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1" fontId="1" fillId="0" borderId="31" xfId="0" applyNumberFormat="1" applyFont="1" applyBorder="1" applyAlignment="1">
      <alignment horizontal="center"/>
    </xf>
    <xf numFmtId="11" fontId="1" fillId="0" borderId="32" xfId="0" applyNumberFormat="1" applyFont="1" applyBorder="1" applyAlignment="1">
      <alignment horizontal="center"/>
    </xf>
    <xf numFmtId="11" fontId="1" fillId="0" borderId="33" xfId="0" applyNumberFormat="1" applyFont="1" applyBorder="1" applyAlignment="1">
      <alignment horizontal="center"/>
    </xf>
    <xf numFmtId="11" fontId="1" fillId="0" borderId="29" xfId="0" applyNumberFormat="1" applyFont="1" applyBorder="1" applyAlignment="1">
      <alignment horizontal="center"/>
    </xf>
    <xf numFmtId="1" fontId="1" fillId="0" borderId="34" xfId="0" applyNumberFormat="1" applyFont="1" applyBorder="1" applyAlignment="1">
      <alignment horizontal="center"/>
    </xf>
    <xf numFmtId="1" fontId="1" fillId="0" borderId="24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1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31" xfId="0" applyNumberFormat="1" applyFont="1" applyBorder="1" applyAlignment="1">
      <alignment horizontal="center"/>
    </xf>
    <xf numFmtId="11" fontId="1" fillId="0" borderId="34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2" fontId="1" fillId="0" borderId="0" xfId="0" applyNumberFormat="1" applyFont="1"/>
    <xf numFmtId="11" fontId="1" fillId="0" borderId="32" xfId="0" applyNumberFormat="1" applyFont="1" applyBorder="1"/>
    <xf numFmtId="11" fontId="1" fillId="0" borderId="29" xfId="0" applyNumberFormat="1" applyFont="1" applyBorder="1"/>
    <xf numFmtId="11" fontId="1" fillId="0" borderId="36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1" fontId="1" fillId="0" borderId="36" xfId="0" applyNumberFormat="1" applyFont="1" applyBorder="1"/>
    <xf numFmtId="0" fontId="1" fillId="0" borderId="37" xfId="0" applyFont="1" applyBorder="1"/>
    <xf numFmtId="1" fontId="1" fillId="0" borderId="32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1" fontId="1" fillId="0" borderId="35" xfId="0" applyNumberFormat="1" applyFont="1" applyBorder="1" applyAlignment="1">
      <alignment horizontal="center"/>
    </xf>
    <xf numFmtId="11" fontId="1" fillId="0" borderId="38" xfId="0" applyNumberFormat="1" applyFont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1" fontId="1" fillId="0" borderId="35" xfId="0" applyNumberFormat="1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11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1" fontId="5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4.5" defaultRowHeight="15" customHeight="1"/>
  <cols>
    <col min="1" max="1" width="3.6640625" customWidth="1"/>
    <col min="2" max="2" width="16.1640625" customWidth="1"/>
    <col min="3" max="15" width="8.83203125" customWidth="1"/>
    <col min="16" max="16" width="9.5" customWidth="1"/>
    <col min="17" max="17" width="9" customWidth="1"/>
    <col min="18" max="34" width="8.83203125" customWidth="1"/>
  </cols>
  <sheetData>
    <row r="1" spans="1:34" ht="14.25" customHeight="1">
      <c r="C1" s="1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ht="14.25" customHeight="1">
      <c r="A2" s="3"/>
      <c r="B2" s="3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6" t="s">
        <v>31</v>
      </c>
    </row>
    <row r="3" spans="1:34" ht="14.25" customHeight="1">
      <c r="B3" s="7" t="s">
        <v>32</v>
      </c>
      <c r="C3" s="8">
        <f>(34/0.01)*10^2</f>
        <v>340000</v>
      </c>
      <c r="D3" s="9">
        <f>(50/0.01)*10^2</f>
        <v>500000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0"/>
    </row>
    <row r="4" spans="1:34" ht="14.25" customHeight="1">
      <c r="B4" s="11" t="s">
        <v>33</v>
      </c>
      <c r="C4" s="12">
        <f>(14/0.01)*10^2</f>
        <v>140000</v>
      </c>
      <c r="D4" s="13">
        <f>(24/0.01)*10^2</f>
        <v>240000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spans="1:34" ht="14.25" customHeight="1">
      <c r="B5" s="11" t="s">
        <v>34</v>
      </c>
      <c r="C5" s="12">
        <f>(40/0.01)*10^2</f>
        <v>400000</v>
      </c>
      <c r="D5" s="13"/>
      <c r="E5" s="15">
        <f>(3/0.05)*10^4</f>
        <v>600000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spans="1:34" ht="14.25" customHeight="1">
      <c r="B6" s="11" t="s">
        <v>35</v>
      </c>
      <c r="C6" s="12">
        <f>(32/0.01)*10^2</f>
        <v>320000</v>
      </c>
      <c r="D6" s="13"/>
      <c r="E6" s="15">
        <f>(106/0.05)*10^2</f>
        <v>212000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spans="1:34" ht="14.25" customHeight="1">
      <c r="B7" s="16" t="s">
        <v>36</v>
      </c>
      <c r="C7" s="12">
        <f>(2/0.01)*10^4</f>
        <v>2000000</v>
      </c>
      <c r="D7" s="13"/>
      <c r="E7" s="15">
        <f>(4/0.05)*10^4</f>
        <v>800000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spans="1:34" ht="14.25" customHeight="1">
      <c r="B8" s="7" t="s">
        <v>37</v>
      </c>
      <c r="C8" s="17">
        <f>(23/0.01)</f>
        <v>2300</v>
      </c>
      <c r="D8" s="13"/>
      <c r="E8" s="13"/>
      <c r="F8" s="18">
        <f>32/0.01</f>
        <v>3200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spans="1:34" ht="14.25" customHeight="1">
      <c r="B9" s="11" t="s">
        <v>38</v>
      </c>
      <c r="C9" s="12">
        <f>(7/0.01)*10^2</f>
        <v>70000</v>
      </c>
      <c r="D9" s="13"/>
      <c r="E9" s="13"/>
      <c r="F9" s="13">
        <f>130/0.01</f>
        <v>13000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spans="1:34" ht="14.25" customHeight="1">
      <c r="B10" s="11" t="s">
        <v>39</v>
      </c>
      <c r="C10" s="12">
        <f>(17/0.01)*10^2</f>
        <v>170000</v>
      </c>
      <c r="D10" s="13"/>
      <c r="E10" s="13"/>
      <c r="F10" s="13"/>
      <c r="G10" s="13">
        <f>(32/0.01)*10^2</f>
        <v>320000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spans="1:34" ht="14.25" customHeight="1">
      <c r="B11" s="11" t="s">
        <v>40</v>
      </c>
      <c r="C11" s="12">
        <f>(43/0.01)*10^2</f>
        <v>430000</v>
      </c>
      <c r="D11" s="13"/>
      <c r="E11" s="13"/>
      <c r="F11" s="13"/>
      <c r="G11" s="13">
        <f>(40/0.01)*10^2</f>
        <v>400000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spans="1:34" ht="14.25" customHeight="1">
      <c r="B12" s="11" t="s">
        <v>41</v>
      </c>
      <c r="C12" s="12" t="s">
        <v>42</v>
      </c>
      <c r="D12" s="13"/>
      <c r="E12" s="13"/>
      <c r="F12" s="13"/>
      <c r="G12" s="18">
        <f>1/0.01</f>
        <v>100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spans="1:34" ht="14.25" customHeight="1">
      <c r="B13" s="11" t="s">
        <v>43</v>
      </c>
      <c r="C13" s="17">
        <f>(75/0.01)</f>
        <v>7500</v>
      </c>
      <c r="D13" s="13"/>
      <c r="E13" s="13"/>
      <c r="F13" s="13"/>
      <c r="G13" s="18">
        <f>96/0.01</f>
        <v>9600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spans="1:34" ht="14.25" customHeight="1">
      <c r="B14" s="11" t="s">
        <v>44</v>
      </c>
      <c r="C14" s="12" t="s">
        <v>42</v>
      </c>
      <c r="D14" s="13"/>
      <c r="E14" s="13"/>
      <c r="F14" s="13"/>
      <c r="G14" s="18">
        <f>1/0.01</f>
        <v>100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spans="1:34" ht="14.25" customHeight="1">
      <c r="B15" s="11" t="s">
        <v>45</v>
      </c>
      <c r="C15" s="12">
        <f>(43/0.01)*10^2</f>
        <v>430000</v>
      </c>
      <c r="D15" s="13"/>
      <c r="E15" s="13"/>
      <c r="F15" s="13"/>
      <c r="G15" s="13"/>
      <c r="H15" s="13">
        <f>(2/0.01)*10^2</f>
        <v>20000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spans="1:34" ht="14.25" customHeight="1">
      <c r="B16" s="16" t="s">
        <v>46</v>
      </c>
      <c r="C16" s="12">
        <f>(17/0.01)*10^2</f>
        <v>170000</v>
      </c>
      <c r="D16" s="13"/>
      <c r="E16" s="13"/>
      <c r="F16" s="13"/>
      <c r="G16" s="13"/>
      <c r="H16" s="13">
        <f>(1/0.01)*10^2</f>
        <v>10000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spans="1:34" ht="14.25" customHeight="1">
      <c r="B17" s="7" t="s">
        <v>47</v>
      </c>
      <c r="C17" s="17">
        <f>27/0.05</f>
        <v>540</v>
      </c>
      <c r="D17" s="13"/>
      <c r="E17" s="13"/>
      <c r="F17" s="13"/>
      <c r="G17" s="13"/>
      <c r="H17" s="13"/>
      <c r="I17" s="13">
        <f>(9/0.05)*10^2</f>
        <v>18000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spans="1:34" ht="14.25" customHeight="1">
      <c r="B18" s="11" t="s">
        <v>48</v>
      </c>
      <c r="C18" s="12" t="s">
        <v>42</v>
      </c>
      <c r="D18" s="13"/>
      <c r="E18" s="13"/>
      <c r="F18" s="13"/>
      <c r="G18" s="13"/>
      <c r="H18" s="13"/>
      <c r="I18" s="13" t="s">
        <v>49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spans="1:34" ht="14.25" customHeight="1">
      <c r="B19" s="11" t="s">
        <v>50</v>
      </c>
      <c r="C19" s="17">
        <f>64/0.05</f>
        <v>1280</v>
      </c>
      <c r="D19" s="13"/>
      <c r="E19" s="13"/>
      <c r="F19" s="13"/>
      <c r="G19" s="13"/>
      <c r="H19" s="13"/>
      <c r="I19" s="13">
        <f>(41/0.05)*10^2</f>
        <v>82000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spans="1:34" ht="14.25" customHeight="1">
      <c r="B20" s="11" t="s">
        <v>51</v>
      </c>
      <c r="C20" s="17">
        <f>97/0.05</f>
        <v>1940</v>
      </c>
      <c r="D20" s="13"/>
      <c r="E20" s="13"/>
      <c r="F20" s="13"/>
      <c r="G20" s="13"/>
      <c r="H20" s="13"/>
      <c r="I20" s="13">
        <f>(48/0.05)*10^2</f>
        <v>96000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spans="1:34" ht="14.25" customHeight="1">
      <c r="B21" s="11" t="s">
        <v>52</v>
      </c>
      <c r="C21" s="12">
        <f>(9/0.01)*10^2</f>
        <v>90000</v>
      </c>
      <c r="D21" s="13"/>
      <c r="E21" s="13"/>
      <c r="F21" s="13"/>
      <c r="G21" s="13"/>
      <c r="H21" s="13"/>
      <c r="I21" s="13"/>
      <c r="J21" s="13">
        <f>(9/0.01)*10^2</f>
        <v>90000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spans="1:34" ht="14.25" customHeight="1">
      <c r="B22" s="11" t="s">
        <v>53</v>
      </c>
      <c r="C22" s="12">
        <f t="shared" ref="C22:C23" si="0">(1/0.01)*10^2</f>
        <v>10000</v>
      </c>
      <c r="D22" s="13"/>
      <c r="E22" s="13"/>
      <c r="F22" s="13"/>
      <c r="G22" s="13"/>
      <c r="H22" s="13"/>
      <c r="I22" s="13"/>
      <c r="J22" s="13">
        <f>(2/0.01)*10^2</f>
        <v>20000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spans="1:34" ht="14.25" customHeight="1">
      <c r="B23" s="11" t="s">
        <v>54</v>
      </c>
      <c r="C23" s="12">
        <f t="shared" si="0"/>
        <v>10000</v>
      </c>
      <c r="D23" s="13"/>
      <c r="E23" s="13"/>
      <c r="F23" s="13"/>
      <c r="G23" s="13"/>
      <c r="H23" s="13"/>
      <c r="I23" s="13"/>
      <c r="J23" s="13"/>
      <c r="K23" s="13">
        <f>(3/0.01)*10^2</f>
        <v>30000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spans="1:34" ht="14.25" customHeight="1">
      <c r="B24" s="11" t="s">
        <v>55</v>
      </c>
      <c r="C24" s="12">
        <f>(9/0.01)*10^2</f>
        <v>90000</v>
      </c>
      <c r="D24" s="13"/>
      <c r="E24" s="13"/>
      <c r="F24" s="13"/>
      <c r="G24" s="13"/>
      <c r="H24" s="13"/>
      <c r="I24" s="13"/>
      <c r="J24" s="13"/>
      <c r="K24" s="13">
        <f>(11/0.01)*10^2</f>
        <v>110000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spans="1:34" ht="14.25" customHeight="1">
      <c r="B25" s="11" t="s">
        <v>56</v>
      </c>
      <c r="C25" s="12">
        <f>(2/0.01)*10^2</f>
        <v>20000</v>
      </c>
      <c r="D25" s="13"/>
      <c r="E25" s="13"/>
      <c r="F25" s="13"/>
      <c r="G25" s="13"/>
      <c r="H25" s="13"/>
      <c r="I25" s="13"/>
      <c r="J25" s="13"/>
      <c r="K25" s="13">
        <f>(3/0.01)*10^2</f>
        <v>30000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spans="1:34" ht="14.25" customHeight="1">
      <c r="B26" s="19" t="s">
        <v>57</v>
      </c>
      <c r="C26" s="20">
        <f>(1/0.05)*10^4</f>
        <v>200000</v>
      </c>
      <c r="D26" s="13"/>
      <c r="E26" s="13"/>
      <c r="F26" s="13"/>
      <c r="G26" s="13"/>
      <c r="H26" s="13"/>
      <c r="I26" s="13"/>
      <c r="J26" s="13"/>
      <c r="K26" s="13"/>
      <c r="L26" s="13">
        <f>(6/0.05)*10^4</f>
        <v>1200000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spans="1:34" ht="14.25" customHeight="1">
      <c r="B27" s="21" t="s">
        <v>58</v>
      </c>
      <c r="C27" s="12">
        <f>(44/0.05)*10^2</f>
        <v>88000</v>
      </c>
      <c r="D27" s="13"/>
      <c r="E27" s="13"/>
      <c r="F27" s="13"/>
      <c r="G27" s="13"/>
      <c r="H27" s="13"/>
      <c r="I27" s="13"/>
      <c r="J27" s="13"/>
      <c r="K27" s="13"/>
      <c r="L27" s="13"/>
      <c r="M27" s="13">
        <f>(18/0.05)*10^2</f>
        <v>36000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spans="1:34" ht="14.25" customHeight="1">
      <c r="B28" s="19" t="s">
        <v>59</v>
      </c>
      <c r="C28" s="12">
        <f>(34/0.01)*10^2</f>
        <v>340000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>
        <f>(32/0.01)*10^2</f>
        <v>320000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spans="1:34" ht="14.25" customHeight="1">
      <c r="B29" s="11" t="s">
        <v>60</v>
      </c>
      <c r="C29" s="12">
        <f>(3/0.01)*10^2</f>
        <v>30000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>
        <f>(2/0.01)*10^2</f>
        <v>20000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spans="1:34" ht="14.25" customHeight="1">
      <c r="A30" s="22"/>
      <c r="B30" s="11" t="s">
        <v>61</v>
      </c>
      <c r="C30" s="12">
        <f>(4/0.01)*10^4</f>
        <v>4000000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3">
        <f>(12/0.01)</f>
        <v>1200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spans="1:34" ht="14.25" customHeight="1">
      <c r="A31" s="22"/>
      <c r="B31" s="11" t="s">
        <v>62</v>
      </c>
      <c r="C31" s="12">
        <f>(15/0.01)*10^2</f>
        <v>150000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>
        <f>(19/0.01)*10^2</f>
        <v>190000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spans="1:34" ht="14.25" customHeight="1">
      <c r="A32" s="22"/>
      <c r="B32" s="11" t="s">
        <v>63</v>
      </c>
      <c r="C32" s="12">
        <f>(11/0.01)*10^2</f>
        <v>110000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>
        <f>(14/0.01)*10^2</f>
        <v>140000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spans="1:34" ht="14.25" customHeight="1">
      <c r="A33" s="22"/>
      <c r="B33" s="11" t="s">
        <v>64</v>
      </c>
      <c r="C33" s="17">
        <f>(92/0.01)</f>
        <v>9200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>
        <f>(5/0.01)*10^2</f>
        <v>50000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spans="1:34" ht="14.25" customHeight="1">
      <c r="B34" s="11" t="s">
        <v>65</v>
      </c>
      <c r="C34" s="17">
        <f>32/0.01</f>
        <v>3200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8">
        <f>(141/0.05)</f>
        <v>2820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spans="1:34" ht="14.25" customHeight="1">
      <c r="A35" s="22"/>
      <c r="B35" s="11" t="s">
        <v>66</v>
      </c>
      <c r="C35" s="17">
        <f>(14/0.01)</f>
        <v>1400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8">
        <f>50/0.05</f>
        <v>1000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spans="1:34" ht="14.25" customHeight="1">
      <c r="A36" s="22"/>
      <c r="B36" s="16" t="s">
        <v>67</v>
      </c>
      <c r="C36" s="12">
        <f>(1/0.01)*10^2</f>
        <v>10000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>
        <f>(5/0.05)*10^2</f>
        <v>10000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spans="1:34" ht="14.25" customHeight="1">
      <c r="B37" s="7" t="s">
        <v>68</v>
      </c>
      <c r="C37" s="17">
        <v>3600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>
        <f>(5/0.025)*10^2</f>
        <v>20000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spans="1:34" ht="14.25" customHeight="1">
      <c r="A38" s="22"/>
      <c r="B38" s="11" t="s">
        <v>69</v>
      </c>
      <c r="C38" s="17">
        <v>2500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8">
        <f>(15/0.025)</f>
        <v>600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spans="1:34" ht="14.25" customHeight="1">
      <c r="A39" s="22"/>
      <c r="B39" s="11" t="s">
        <v>70</v>
      </c>
      <c r="C39" s="12" t="s">
        <v>71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8">
        <f>(1/0.025)</f>
        <v>40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spans="1:34" ht="14.25" customHeight="1">
      <c r="A40" s="22"/>
      <c r="B40" s="11" t="s">
        <v>72</v>
      </c>
      <c r="C40" s="12">
        <f>(4/0.01)*10^2</f>
        <v>40000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>
        <f>(9/0.025)*10^2</f>
        <v>36000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spans="1:34" ht="14.25" customHeight="1">
      <c r="A41" s="22"/>
      <c r="B41" s="11" t="s">
        <v>73</v>
      </c>
      <c r="C41" s="12">
        <f>(19/0.01)*10^2</f>
        <v>190000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>
        <f>(35/0.025)*10^2</f>
        <v>140000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spans="1:34" ht="14.25" customHeight="1">
      <c r="A42" s="22"/>
      <c r="B42" s="11" t="s">
        <v>74</v>
      </c>
      <c r="C42" s="12">
        <f>(3/0.01)*10^2</f>
        <v>30000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8">
        <f>(66/0.025)</f>
        <v>2640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spans="1:34" ht="14.25" customHeight="1">
      <c r="A43" s="24"/>
      <c r="B43" s="11" t="s">
        <v>75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8"/>
      <c r="S43" s="13">
        <f>(4/0.05)*10^4</f>
        <v>800000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spans="1:34" ht="14.25" customHeight="1">
      <c r="A44" s="24"/>
      <c r="B44" s="11" t="s">
        <v>76</v>
      </c>
      <c r="C44" s="12">
        <f>(94/0.05)*10^2</f>
        <v>188000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8"/>
      <c r="S44" s="13">
        <f>(152/0.05)*10^2</f>
        <v>304000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spans="1:34" ht="14.25" customHeight="1">
      <c r="A45" s="24"/>
      <c r="B45" s="11" t="s">
        <v>77</v>
      </c>
      <c r="C45" s="12">
        <f>(5/0.05)*10^4</f>
        <v>1000000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8"/>
      <c r="S45" s="13"/>
      <c r="T45" s="13">
        <f>(32/0.05)*10^4</f>
        <v>6400000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spans="1:34" ht="14.25" customHeight="1">
      <c r="A46" s="24"/>
      <c r="B46" s="11" t="s">
        <v>78</v>
      </c>
      <c r="C46" s="12">
        <f>(38/0.05)*10^2</f>
        <v>76000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8"/>
      <c r="S46" s="13"/>
      <c r="T46" s="13">
        <f>(73/0.05)*10^2</f>
        <v>146000</v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spans="1:34" ht="14.25" customHeight="1">
      <c r="A47" s="24"/>
      <c r="B47" s="25" t="s">
        <v>79</v>
      </c>
      <c r="C47" s="12">
        <f>(166/0.05)*10^2</f>
        <v>332000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8"/>
      <c r="S47" s="13"/>
      <c r="T47" s="13">
        <f>(18/0.05)*10^4</f>
        <v>3600000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spans="1:34" ht="14.25" customHeight="1">
      <c r="B48" s="7" t="s">
        <v>80</v>
      </c>
      <c r="C48" s="12">
        <f>(110/0.05)*10^2</f>
        <v>220000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>
        <f>(39/0.05)*10^2</f>
        <v>78000</v>
      </c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spans="2:34" ht="14.25" customHeight="1">
      <c r="B49" s="19" t="s">
        <v>81</v>
      </c>
      <c r="C49" s="12">
        <f>(93/0.05)*10^2</f>
        <v>186000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>
        <f>(51/0.05)*10^2</f>
        <v>102000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spans="2:34" ht="14.25" customHeight="1">
      <c r="B50" s="19" t="s">
        <v>82</v>
      </c>
      <c r="C50" s="12">
        <f>(46/0.05)*10^2</f>
        <v>92000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>
        <f>(43/0.05)*10^2</f>
        <v>86000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spans="2:34" ht="14.25" customHeight="1">
      <c r="B51" s="19" t="s">
        <v>83</v>
      </c>
      <c r="C51" s="12">
        <f>(29/0.01)*10^2</f>
        <v>290000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>
        <f>(41/0.01)*10^2</f>
        <v>410000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spans="2:34" ht="14.25" customHeight="1">
      <c r="B52" s="19" t="s">
        <v>84</v>
      </c>
      <c r="C52" s="12">
        <f>(9/0.01)*10^2</f>
        <v>90000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>
        <f>(19/0.01)*10^2</f>
        <v>190000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spans="2:34" ht="14.25" customHeight="1">
      <c r="B53" s="11" t="s">
        <v>85</v>
      </c>
      <c r="C53" s="12">
        <f>(23/0.01)*10^2</f>
        <v>230000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>
        <f>(23/0.01)*10^2</f>
        <v>230000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spans="2:34" ht="14.25" customHeight="1">
      <c r="B54" s="11" t="s">
        <v>86</v>
      </c>
      <c r="C54" s="12">
        <f>(24/0.01)*10^2</f>
        <v>240000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>
        <f>(24/0.01)*10^2</f>
        <v>240000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spans="2:34" ht="14.25" customHeight="1">
      <c r="B55" s="11" t="s">
        <v>87</v>
      </c>
      <c r="C55" s="12">
        <f>(18/0.01)*10^2</f>
        <v>180000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>
        <f>(18/0.01)*10^2</f>
        <v>180000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spans="2:34" ht="14.25" customHeight="1">
      <c r="B56" s="11" t="s">
        <v>88</v>
      </c>
      <c r="C56" s="12">
        <f>(5/0.01)*10^2</f>
        <v>50000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>
        <f>(5/0.01)*10^2</f>
        <v>50000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spans="2:34" ht="14.25" customHeight="1">
      <c r="B57" s="11" t="s">
        <v>89</v>
      </c>
      <c r="C57" s="12">
        <f>(140/0.05)*10^2</f>
        <v>280000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f>(150/0.05)*10^2</f>
        <v>300000</v>
      </c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spans="2:34" ht="14.25" customHeight="1">
      <c r="B58" s="16" t="s">
        <v>90</v>
      </c>
      <c r="C58" s="12">
        <f>(7/0.05)*10^4</f>
        <v>1400000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>
        <f>(7/0.05)*10^4</f>
        <v>1400000</v>
      </c>
      <c r="Z58" s="13"/>
      <c r="AA58" s="13"/>
      <c r="AB58" s="13"/>
      <c r="AC58" s="13"/>
      <c r="AD58" s="13"/>
      <c r="AE58" s="13"/>
      <c r="AF58" s="13"/>
      <c r="AG58" s="13"/>
      <c r="AH58" s="14"/>
    </row>
    <row r="59" spans="2:34" ht="14.25" customHeight="1">
      <c r="B59" s="7" t="s">
        <v>91</v>
      </c>
      <c r="C59" s="12">
        <f>(10/0.05)*10^4</f>
        <v>2000000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>
        <f>(25/0.05)*10^2</f>
        <v>50000</v>
      </c>
      <c r="AA59" s="13"/>
      <c r="AB59" s="13"/>
      <c r="AC59" s="13"/>
      <c r="AD59" s="13"/>
      <c r="AE59" s="13"/>
      <c r="AF59" s="13"/>
      <c r="AG59" s="13"/>
      <c r="AH59" s="14"/>
    </row>
    <row r="60" spans="2:34" ht="14.25" customHeight="1">
      <c r="B60" s="19" t="s">
        <v>92</v>
      </c>
      <c r="C60" s="17">
        <f>(11/0.05)</f>
        <v>220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 t="s">
        <v>42</v>
      </c>
      <c r="AA60" s="13"/>
      <c r="AB60" s="13"/>
      <c r="AC60" s="13"/>
      <c r="AD60" s="13"/>
      <c r="AE60" s="13"/>
      <c r="AF60" s="13"/>
      <c r="AG60" s="13"/>
      <c r="AH60" s="14"/>
    </row>
    <row r="61" spans="2:34" ht="14.25" customHeight="1">
      <c r="B61" s="19" t="s">
        <v>93</v>
      </c>
      <c r="C61" s="17">
        <f>(2/0.05)*10^2</f>
        <v>4000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8">
        <f>(187/0.05)</f>
        <v>3740</v>
      </c>
      <c r="AA61" s="13"/>
      <c r="AB61" s="13"/>
      <c r="AC61" s="13"/>
      <c r="AD61" s="13"/>
      <c r="AE61" s="13"/>
      <c r="AF61" s="13"/>
      <c r="AG61" s="13"/>
      <c r="AH61" s="14"/>
    </row>
    <row r="62" spans="2:34" ht="14.25" customHeight="1">
      <c r="B62" s="19" t="s">
        <v>94</v>
      </c>
      <c r="C62" s="12">
        <f>(115/0.05)*10^2</f>
        <v>230000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>
        <f>(66/0.05)*10^2</f>
        <v>132000</v>
      </c>
      <c r="AA62" s="13"/>
      <c r="AB62" s="13"/>
      <c r="AC62" s="13"/>
      <c r="AD62" s="13"/>
      <c r="AE62" s="13"/>
      <c r="AF62" s="13"/>
      <c r="AG62" s="13"/>
      <c r="AH62" s="14"/>
    </row>
    <row r="63" spans="2:34" ht="14.25" customHeight="1">
      <c r="B63" s="19" t="s">
        <v>95</v>
      </c>
      <c r="C63" s="17">
        <f>(3/0.05)*10^2</f>
        <v>6000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8">
        <f>122/0.05</f>
        <v>2440</v>
      </c>
      <c r="AA63" s="13"/>
      <c r="AB63" s="13"/>
      <c r="AC63" s="13"/>
      <c r="AD63" s="13"/>
      <c r="AE63" s="13"/>
      <c r="AF63" s="13"/>
      <c r="AG63" s="13"/>
      <c r="AH63" s="14"/>
    </row>
    <row r="64" spans="2:34" ht="14.25" customHeight="1">
      <c r="B64" s="19" t="s">
        <v>96</v>
      </c>
      <c r="C64" s="12">
        <f>(10/0.05)*10^4</f>
        <v>2000000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>
        <f>(68/0.05)*10^2</f>
        <v>136000</v>
      </c>
      <c r="AB64" s="13"/>
      <c r="AC64" s="13"/>
      <c r="AD64" s="13"/>
      <c r="AE64" s="13"/>
      <c r="AF64" s="13"/>
      <c r="AG64" s="13"/>
      <c r="AH64" s="14"/>
    </row>
    <row r="65" spans="2:34" ht="14.25" customHeight="1">
      <c r="B65" s="19" t="s">
        <v>97</v>
      </c>
      <c r="C65" s="12">
        <f>(21/0.05)*10^2</f>
        <v>42000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8">
        <f>(3/0.05)*10^2</f>
        <v>6000</v>
      </c>
      <c r="AB65" s="13"/>
      <c r="AC65" s="13"/>
      <c r="AD65" s="13"/>
      <c r="AE65" s="13"/>
      <c r="AF65" s="13"/>
      <c r="AG65" s="13"/>
      <c r="AH65" s="14"/>
    </row>
    <row r="66" spans="2:34" ht="14.25" customHeight="1">
      <c r="B66" s="19" t="s">
        <v>98</v>
      </c>
      <c r="C66" s="12">
        <f>(5/0.05)*10^2</f>
        <v>10000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>
        <f>(5/0.05)*10^2</f>
        <v>10000</v>
      </c>
      <c r="AB66" s="13"/>
      <c r="AC66" s="13"/>
      <c r="AD66" s="13"/>
      <c r="AE66" s="13"/>
      <c r="AF66" s="13"/>
      <c r="AG66" s="13"/>
      <c r="AH66" s="14"/>
    </row>
    <row r="67" spans="2:34" ht="14.25" customHeight="1">
      <c r="B67" s="19" t="s">
        <v>99</v>
      </c>
      <c r="C67" s="12">
        <f>(25/0.05)*10^4</f>
        <v>5000000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>
        <f>(18/0.05)*10^4</f>
        <v>3600000</v>
      </c>
      <c r="AC67" s="13"/>
      <c r="AD67" s="13"/>
      <c r="AE67" s="13"/>
      <c r="AF67" s="13"/>
      <c r="AG67" s="13"/>
      <c r="AH67" s="14"/>
    </row>
    <row r="68" spans="2:34" ht="14.25" customHeight="1">
      <c r="B68" s="19" t="s">
        <v>100</v>
      </c>
      <c r="C68" s="12">
        <f>(95/0.05)*10^2</f>
        <v>190000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>
        <f>(61/0.05)*10^2</f>
        <v>122000</v>
      </c>
      <c r="AC68" s="13"/>
      <c r="AD68" s="13"/>
      <c r="AE68" s="13"/>
      <c r="AF68" s="13"/>
      <c r="AG68" s="13"/>
      <c r="AH68" s="14"/>
    </row>
    <row r="69" spans="2:34" ht="14.25" customHeight="1">
      <c r="B69" s="11" t="s">
        <v>101</v>
      </c>
      <c r="C69" s="12">
        <f>(166/0.05)*10^2</f>
        <v>332000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>
        <f>(16/0.05)*10^2</f>
        <v>32000</v>
      </c>
      <c r="AC69" s="13"/>
      <c r="AD69" s="13"/>
      <c r="AE69" s="13"/>
      <c r="AF69" s="13"/>
      <c r="AG69" s="13"/>
      <c r="AH69" s="14"/>
    </row>
    <row r="70" spans="2:34" ht="14.25" customHeight="1">
      <c r="B70" s="16" t="s">
        <v>102</v>
      </c>
      <c r="C70" s="12">
        <f>(116/0.05)*10^2</f>
        <v>232000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>
        <f>(120/0.05)*10^2</f>
        <v>240000</v>
      </c>
      <c r="AC70" s="13"/>
      <c r="AD70" s="13"/>
      <c r="AE70" s="13"/>
      <c r="AF70" s="13"/>
      <c r="AG70" s="13"/>
      <c r="AH70" s="14"/>
    </row>
    <row r="71" spans="2:34" ht="14.25" customHeight="1">
      <c r="B71" s="7" t="s">
        <v>103</v>
      </c>
      <c r="C71" s="17">
        <f>15/0.01</f>
        <v>1500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8">
        <f>8/0.01</f>
        <v>800</v>
      </c>
      <c r="AD71" s="13"/>
      <c r="AE71" s="13"/>
      <c r="AF71" s="13"/>
      <c r="AG71" s="13"/>
      <c r="AH71" s="14"/>
    </row>
    <row r="72" spans="2:34" ht="14.25" customHeight="1">
      <c r="B72" s="19" t="s">
        <v>104</v>
      </c>
      <c r="C72" s="12">
        <f t="shared" ref="C72:C73" si="1">(9/0.01)*10^2</f>
        <v>90000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>
        <f>(16/0.01)*10^2</f>
        <v>160000</v>
      </c>
      <c r="AD72" s="13"/>
      <c r="AE72" s="13"/>
      <c r="AF72" s="13"/>
      <c r="AG72" s="13"/>
      <c r="AH72" s="14"/>
    </row>
    <row r="73" spans="2:34" ht="14.25" customHeight="1">
      <c r="B73" s="19" t="s">
        <v>105</v>
      </c>
      <c r="C73" s="12">
        <f t="shared" si="1"/>
        <v>90000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>
        <f>(8/0.01)*10^2</f>
        <v>80000</v>
      </c>
      <c r="AD73" s="13"/>
      <c r="AE73" s="13"/>
      <c r="AF73" s="13"/>
      <c r="AG73" s="13"/>
      <c r="AH73" s="14"/>
    </row>
    <row r="74" spans="2:34" ht="14.25" customHeight="1">
      <c r="B74" s="19" t="s">
        <v>106</v>
      </c>
      <c r="C74" s="17">
        <f>18/0.01</f>
        <v>1800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8">
        <f>26/0.01</f>
        <v>2600</v>
      </c>
      <c r="AE74" s="13"/>
      <c r="AF74" s="13"/>
      <c r="AG74" s="13"/>
      <c r="AH74" s="14"/>
    </row>
    <row r="75" spans="2:34" ht="14.25" customHeight="1">
      <c r="B75" s="19" t="s">
        <v>107</v>
      </c>
      <c r="C75" s="12">
        <f>(26/0.01)*10^2</f>
        <v>260000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>
        <f>(20/0.01)*10^2</f>
        <v>200000</v>
      </c>
      <c r="AE75" s="13"/>
      <c r="AF75" s="13"/>
      <c r="AG75" s="13"/>
      <c r="AH75" s="14"/>
    </row>
    <row r="76" spans="2:34" ht="14.25" customHeight="1">
      <c r="B76" s="19" t="s">
        <v>108</v>
      </c>
      <c r="C76" s="12">
        <f>(14/0.01)*10^2</f>
        <v>140000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>
        <f>(9/0.01)*10^2</f>
        <v>90000</v>
      </c>
      <c r="AF76" s="13"/>
      <c r="AG76" s="13"/>
      <c r="AH76" s="14"/>
    </row>
    <row r="77" spans="2:34" ht="14.25" customHeight="1">
      <c r="B77" s="11" t="s">
        <v>109</v>
      </c>
      <c r="C77" s="17">
        <f>60/0.01</f>
        <v>6000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>
        <f>(117/0.01)</f>
        <v>11700</v>
      </c>
      <c r="AF77" s="13"/>
      <c r="AG77" s="13"/>
      <c r="AH77" s="14"/>
    </row>
    <row r="78" spans="2:34" ht="14.25" customHeight="1">
      <c r="B78" s="16" t="s">
        <v>110</v>
      </c>
      <c r="C78" s="12">
        <f>(15/0.01)*10^2</f>
        <v>150000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>
        <f>(22/0.01)*10^2</f>
        <v>220000</v>
      </c>
      <c r="AF78" s="13"/>
      <c r="AG78" s="13"/>
      <c r="AH78" s="14"/>
    </row>
    <row r="79" spans="2:34" ht="14.25" customHeight="1">
      <c r="B79" s="7" t="s">
        <v>111</v>
      </c>
      <c r="C79" s="12">
        <f>(18/0.01)*10^2</f>
        <v>180000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>
        <f>(11/0.01)*10^2</f>
        <v>110000</v>
      </c>
      <c r="AG79" s="13"/>
      <c r="AH79" s="14"/>
    </row>
    <row r="80" spans="2:34" ht="14.25" customHeight="1">
      <c r="B80" s="19" t="s">
        <v>112</v>
      </c>
      <c r="C80" s="12">
        <f>(21/0.01)*10^2</f>
        <v>210000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>
        <f>(15/0.01)*10^2</f>
        <v>150000</v>
      </c>
      <c r="AG80" s="13"/>
      <c r="AH80" s="14"/>
    </row>
    <row r="81" spans="1:34" ht="14.25" customHeight="1">
      <c r="B81" s="19" t="s">
        <v>113</v>
      </c>
      <c r="C81" s="17">
        <f>(38/0.01)</f>
        <v>3800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8">
        <f>(19/0.01)</f>
        <v>1900</v>
      </c>
      <c r="AG81" s="13"/>
      <c r="AH81" s="14"/>
    </row>
    <row r="82" spans="1:34" ht="14.25" customHeight="1">
      <c r="B82" s="19" t="s">
        <v>114</v>
      </c>
      <c r="C82" s="17">
        <f>(10/0.01)</f>
        <v>1000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8">
        <f>6/0.01</f>
        <v>600</v>
      </c>
      <c r="AG82" s="13"/>
      <c r="AH82" s="14"/>
    </row>
    <row r="83" spans="1:34" ht="14.25" customHeight="1">
      <c r="A83" s="22"/>
      <c r="B83" s="11" t="s">
        <v>115</v>
      </c>
      <c r="C83" s="12">
        <f>(6/0.01)*10^4</f>
        <v>6000000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>
        <f>(6/0.01)*10^4</f>
        <v>6000000</v>
      </c>
      <c r="AH83" s="14"/>
    </row>
    <row r="84" spans="1:34" ht="14.25" customHeight="1">
      <c r="A84" s="22"/>
      <c r="B84" s="11" t="s">
        <v>116</v>
      </c>
      <c r="C84" s="12">
        <f>(24/0.01)*10^2</f>
        <v>240000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>
        <f>(31/0.01)*10^2</f>
        <v>310000</v>
      </c>
      <c r="AH84" s="14"/>
    </row>
    <row r="85" spans="1:34" ht="14.25" customHeight="1">
      <c r="A85" s="22"/>
      <c r="B85" s="11" t="s">
        <v>117</v>
      </c>
      <c r="C85" s="26">
        <f>(2/0.01)*10^2</f>
        <v>20000</v>
      </c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"/>
      <c r="AG85" s="13">
        <f>(4/0.01)*10^2</f>
        <v>40000</v>
      </c>
      <c r="AH85" s="14"/>
    </row>
    <row r="86" spans="1:34" ht="14.25" customHeight="1">
      <c r="A86" s="22"/>
      <c r="B86" s="11" t="s">
        <v>118</v>
      </c>
      <c r="C86" s="17">
        <f>(12/0.01)</f>
        <v>1200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8">
        <f>(22/0.01)</f>
        <v>2200</v>
      </c>
      <c r="AH86" s="14"/>
    </row>
    <row r="87" spans="1:34" ht="14.25" customHeight="1">
      <c r="A87" s="22"/>
      <c r="B87" s="11" t="s">
        <v>119</v>
      </c>
      <c r="C87" s="27">
        <f>(89/0.05)*10^2</f>
        <v>178000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9"/>
      <c r="AH87" s="30">
        <f>(68/0.05)*10^2</f>
        <v>136000</v>
      </c>
    </row>
    <row r="88" spans="1:34" ht="14.25" customHeight="1">
      <c r="A88" s="22"/>
      <c r="B88" s="16" t="s">
        <v>120</v>
      </c>
      <c r="C88" s="31">
        <f>(10/0.05)*10^2</f>
        <v>20000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3">
        <f>(5/0.05)*10^2</f>
        <v>10000</v>
      </c>
    </row>
    <row r="89" spans="1:34" ht="14.2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4.2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4.2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4.2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4.2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4.2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4.2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4.2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3:34" ht="14.2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3:34" ht="14.2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3:34" ht="14.2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3:34" ht="14.2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3:34" ht="14.2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3:34" ht="14.2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3:34" ht="14.2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3:34" ht="14.2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3:34" ht="14.2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3:34" ht="14.2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3:34" ht="14.2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3:34" ht="14.2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3:34" ht="14.2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3:34" ht="14.2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3:34" ht="14.2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3:34" ht="14.2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3:34" ht="14.2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3:34" ht="14.2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3:34" ht="14.2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3:34" ht="14.2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3:34" ht="14.2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3:34" ht="14.2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3:34" ht="14.2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3:34" ht="14.2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3:34" ht="14.2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3:34" ht="14.2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3:34" ht="14.2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3:34" ht="14.2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3:34" ht="14.2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3:34" ht="14.2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3:34" ht="14.2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3:34" ht="14.2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3:34" ht="14.2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3:34" ht="14.2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3:34" ht="14.2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3:34" ht="14.2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3:34" ht="14.2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3:34" ht="14.2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3:34" ht="14.2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3:34" ht="14.2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3:34" ht="14.2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3:34" ht="14.2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3:34" ht="14.2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3:34" ht="14.2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3:34" ht="14.2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3:34" ht="14.2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3:34" ht="14.2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3:34" ht="14.2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3:34" ht="14.2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3:34" ht="14.2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3:34" ht="14.2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3:34" ht="14.2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3:34" ht="14.2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3:34" ht="14.2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3:34" ht="14.2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3:34" ht="14.2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3:34" ht="14.2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3:34" ht="14.2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3:34" ht="14.2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3:34" ht="14.2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3:34" ht="14.2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3:34" ht="14.2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3:34" ht="14.2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3:34" ht="14.2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3:34" ht="14.2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3:34" ht="14.2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3:34" ht="14.2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3:34" ht="14.2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3:34" ht="14.2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3:34" ht="14.2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3:34" ht="14.2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3:34" ht="14.2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3:34" ht="14.2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3:34" ht="14.2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3:34" ht="14.2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3:34" ht="14.2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3:34" ht="14.2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3:34" ht="14.2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3:34" ht="14.2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3:34" ht="14.2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3:34" ht="14.2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3:34" ht="14.2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3:34" ht="14.2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3:34" ht="14.2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3:34" ht="14.2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3:34" ht="14.2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3:34" ht="14.2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3:34" ht="14.2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3:34" ht="14.2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3:34" ht="14.2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3:34" ht="14.2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3:34" ht="14.2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3:34" ht="14.2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3:34" ht="14.2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3:34" ht="14.2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3:34" ht="14.2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3:34" ht="14.2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3:34" ht="14.2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3:34" ht="14.2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3:34" ht="14.2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3:34" ht="14.2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3:34" ht="14.2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3:34" ht="14.2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3:34" ht="14.2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3:34" ht="14.2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3:34" ht="14.2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3:34" ht="14.2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3:34" ht="14.2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3:34" ht="14.2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3:34" ht="14.2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3:34" ht="14.2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3:34" ht="14.2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3:34" ht="14.2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3:34" ht="14.2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3:34" ht="14.2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3:34" ht="14.2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3:34" ht="14.2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3:34" ht="14.2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3:34" ht="14.2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3:34" ht="14.2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3:34" ht="14.2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3:34" ht="14.2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3:34" ht="14.2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3:34" ht="14.2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3:34" ht="14.2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3:34" ht="14.2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3:34" ht="14.2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3:34" ht="14.2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3:34" ht="14.2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3:34" ht="14.2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3:34" ht="14.2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3:34" ht="14.2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3:34" ht="14.2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3:34" ht="14.2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3:34" ht="14.2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3:34" ht="14.2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3:34" ht="14.2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3:34" ht="14.2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3:34" ht="14.2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3:34" ht="14.2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3:34" ht="14.2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3:34" ht="14.2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3:34" ht="14.2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3:34" ht="14.2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3:34" ht="14.2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3:34" ht="14.2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3:34" ht="14.2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3:34" ht="14.2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3:34" ht="14.2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3:34" ht="14.2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3:34" ht="14.2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3:34" ht="14.2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3:34" ht="14.2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3:34" ht="14.2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3:34" ht="14.2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3:34" ht="14.2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3:34" ht="14.2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3:34" ht="14.2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3:34" ht="14.2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3:34" ht="14.2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3:34" ht="14.2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3:34" ht="14.2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3:34" ht="14.2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3:34" ht="14.2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3:34" ht="14.2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3:34" ht="14.2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3:34" ht="14.2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3:34" ht="14.2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3:34" ht="14.2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3:34" ht="14.2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3:34" ht="14.2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3:34" ht="14.2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3:34" ht="14.2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3:34" ht="14.2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3:34" ht="14.2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3:34" ht="14.2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3:34" ht="14.2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3:34" ht="14.2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3:34" ht="14.2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3:34" ht="14.2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3:34" ht="14.2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3:34" ht="14.2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3:34" ht="14.2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3:34" ht="14.2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3:34" ht="14.2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3:34" ht="14.2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3:34" ht="14.2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3:34" ht="14.2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3:34" ht="14.2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3:34" ht="14.2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3:34" ht="14.2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3:34" ht="14.2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3:34" ht="14.2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3:34" ht="14.2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3:34" ht="14.2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3:34" ht="14.2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3:34" ht="14.2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3:34" ht="14.2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3:34" ht="14.2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3:34" ht="14.2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3:34" ht="14.2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3:34" ht="14.2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3:34" ht="14.2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3:34" ht="14.2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3:34" ht="14.2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3:34" ht="14.2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3:34" ht="14.2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3:34" ht="14.2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3:34" ht="14.2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3:34" ht="14.2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3:34" ht="14.2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3:34" ht="14.2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3:34" ht="14.2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3:34" ht="14.2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3:34" ht="14.2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3:34" ht="14.2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3:34" ht="14.2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3:34" ht="14.2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3:34" ht="14.2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3:34" ht="14.2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3:34" ht="14.2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3:34" ht="14.2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3:34" ht="14.2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3:34" ht="14.2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3:34" ht="14.2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3:34" ht="14.2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3:34" ht="14.2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3:34" ht="14.2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3:34" ht="14.2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3:34" ht="14.2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3:34" ht="14.2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3:34" ht="14.2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3:34" ht="14.2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3:34" ht="14.2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3:34" ht="14.2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3:34" ht="14.2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3:34" ht="14.2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3:34" ht="14.2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3:34" ht="14.2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3:34" ht="14.2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3:34" ht="14.2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3:34" ht="14.2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3:34" ht="14.2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3:34" ht="14.2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3:34" ht="14.2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3:34" ht="14.2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3:34" ht="14.2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3:34" ht="14.2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3:34" ht="14.2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3:34" ht="14.2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3:34" ht="14.2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3:34" ht="14.2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3:34" ht="14.2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3:34" ht="14.2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3:34" ht="14.2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3:34" ht="14.2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3:34" ht="14.2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3:34" ht="14.2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3:34" ht="14.2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3:34" ht="14.2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3:34" ht="14.2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3:34" ht="14.2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3:34" ht="14.2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3:34" ht="14.2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3:34" ht="14.2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3:34" ht="14.2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3:34" ht="14.2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3:34" ht="14.2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3:34" ht="14.2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3:34" ht="14.2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3:34" ht="14.2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3:34" ht="14.2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3:34" ht="14.2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3:34" ht="14.2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3:34" ht="14.2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3:34" ht="14.2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3:34" ht="14.2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3:34" ht="14.2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3:34" ht="14.2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3:34" ht="14.2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3:34" ht="14.2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3:34" ht="14.2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3:34" ht="14.2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3:34" ht="14.2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3:34" ht="14.2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3:34" ht="14.2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3:34" ht="14.2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3:34" ht="14.2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3:34" ht="14.2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3:34" ht="14.2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3:34" ht="14.2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3:34" ht="14.2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3:34" ht="14.2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3:34" ht="14.2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3:34" ht="14.2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3:34" ht="14.2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3:34" ht="14.2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3:34" ht="14.2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3:34" ht="14.2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3:34" ht="14.2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3:34" ht="14.2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3:34" ht="14.2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3:34" ht="14.2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3:34" ht="14.2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3:34" ht="14.2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3:34" ht="14.2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3:34" ht="14.2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3:34" ht="14.2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3:34" ht="14.2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3:34" ht="14.2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3:34" ht="14.2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3:34" ht="14.2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3:34" ht="14.2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3:34" ht="14.2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3:34" ht="14.2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3:34" ht="14.2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3:34" ht="14.2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3:34" ht="14.2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3:34" ht="14.2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3:34" ht="14.2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3:34" ht="14.2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3:34" ht="14.2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3:34" ht="14.2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3:34" ht="14.2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3:34" ht="14.2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3:34" ht="14.2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3:34" ht="14.2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3:34" ht="14.2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3:34" ht="14.2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3:34" ht="14.2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3:34" ht="14.2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3:34" ht="14.2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3:34" ht="14.2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3:34" ht="14.2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3:34" ht="14.2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3:34" ht="14.2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3:34" ht="14.2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3:34" ht="14.2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3:34" ht="14.2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3:34" ht="14.2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3:34" ht="14.2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3:34" ht="14.2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3:34" ht="14.2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3:34" ht="14.2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3:34" ht="14.2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3:34" ht="14.2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3:34" ht="14.2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3:34" ht="14.2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3:34" ht="14.2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3:34" ht="14.2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3:34" ht="14.2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3:34" ht="14.2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3:34" ht="14.2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3:34" ht="14.2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3:34" ht="14.2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3:34" ht="14.2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3:34" ht="14.2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3:34" ht="14.2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3:34" ht="14.2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3:34" ht="14.2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3:34" ht="14.2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3:34" ht="14.2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3:34" ht="14.2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3:34" ht="14.2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3:34" ht="14.2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3:34" ht="14.2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3:34" ht="14.2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3:34" ht="14.2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3:34" ht="14.2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3:34" ht="14.2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3:34" ht="14.2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3:34" ht="14.2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3:34" ht="14.2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3:34" ht="14.2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3:34" ht="14.2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3:34" ht="14.2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3:34" ht="14.2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3:34" ht="14.2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3:34" ht="14.2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3:34" ht="14.2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3:34" ht="14.2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3:34" ht="14.2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3:34" ht="14.2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3:34" ht="14.2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3:34" ht="14.2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3:34" ht="14.2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3:34" ht="14.2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3:34" ht="14.2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3:34" ht="14.2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3:34" ht="14.2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3:34" ht="14.2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3:34" ht="14.2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3:34" ht="14.2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3:34" ht="14.2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3:34" ht="14.2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3:34" ht="14.2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3:34" ht="14.2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3:34" ht="14.2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3:34" ht="14.2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3:34" ht="14.2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3:34" ht="14.2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3:34" ht="14.2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3:34" ht="14.2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3:34" ht="14.2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3:34" ht="14.2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3:34" ht="14.2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3:34" ht="14.2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3:34" ht="14.2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3:34" ht="14.2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3:34" ht="14.2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3:34" ht="14.2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3:34" ht="14.2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3:34" ht="14.2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3:34" ht="14.2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3:34" ht="14.2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3:34" ht="14.2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3:34" ht="14.2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3:34" ht="14.2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3:34" ht="14.2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3:34" ht="14.2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3:34" ht="14.2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3:34" ht="14.2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3:34" ht="14.2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3:34" ht="14.2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3:34" ht="14.2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3:34" ht="14.2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3:34" ht="14.2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3:34" ht="14.2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3:34" ht="14.2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3:34" ht="14.2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3:34" ht="14.2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3:34" ht="14.2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3:34" ht="14.2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3:34" ht="14.2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3:34" ht="14.2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3:34" ht="14.2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3:34" ht="14.2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3:34" ht="14.2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3:34" ht="14.2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3:34" ht="14.2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3:34" ht="14.2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3:34" ht="14.2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3:34" ht="14.2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3:34" ht="14.2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3:34" ht="14.2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3:34" ht="14.2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3:34" ht="14.2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3:34" ht="14.2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3:34" ht="14.2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3:34" ht="14.2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3:34" ht="14.2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3:34" ht="14.2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3:34" ht="14.2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3:34" ht="14.2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3:34" ht="14.2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3:34" ht="14.2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3:34" ht="14.2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3:34" ht="14.2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3:34" ht="14.2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3:34" ht="14.2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3:34" ht="14.2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3:34" ht="14.2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3:34" ht="14.2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3:34" ht="14.2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3:34" ht="14.2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3:34" ht="14.2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3:34" ht="14.2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3:34" ht="14.2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3:34" ht="14.2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3:34" ht="14.2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3:34" ht="14.2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3:34" ht="14.2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3:34" ht="14.2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3:34" ht="14.2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3:34" ht="14.2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3:34" ht="14.2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3:34" ht="14.2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3:34" ht="14.2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3:34" ht="14.2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3:34" ht="14.2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3:34" ht="14.2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3:34" ht="14.2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3:34" ht="14.2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3:34" ht="14.2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3:34" ht="14.2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3:34" ht="14.2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3:34" ht="14.2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3:34" ht="14.2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3:34" ht="14.2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3:34" ht="14.2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3:34" ht="14.2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3:34" ht="14.2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3:34" ht="14.2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3:34" ht="14.2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3:34" ht="14.2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3:34" ht="14.2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3:34" ht="14.2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3:34" ht="14.2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3:34" ht="14.2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3:34" ht="14.2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3:34" ht="14.2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3:34" ht="14.2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3:34" ht="14.2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3:34" ht="14.2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3:34" ht="14.2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3:34" ht="14.2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3:34" ht="14.2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3:34" ht="14.2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3:34" ht="14.2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3:34" ht="14.2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3:34" ht="14.2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3:34" ht="14.2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3:34" ht="14.2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3:34" ht="14.2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3:34" ht="14.2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3:34" ht="14.2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3:34" ht="14.2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3:34" ht="14.2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3:34" ht="14.2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3:34" ht="14.2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3:34" ht="14.2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3:34" ht="14.2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3:34" ht="14.2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3:34" ht="14.2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3:34" ht="14.2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3:34" ht="14.2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3:34" ht="14.2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3:34" ht="14.2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3:34" ht="14.2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3:34" ht="14.2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3:34" ht="14.2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3:34" ht="14.2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3:34" ht="14.2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3:34" ht="14.2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3:34" ht="14.2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3:34" ht="14.2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3:34" ht="14.2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3:34" ht="14.2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3:34" ht="14.2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3:34" ht="14.2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3:34" ht="14.2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3:34" ht="14.2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3:34" ht="14.2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3:34" ht="14.2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3:34" ht="14.2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3:34" ht="14.2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3:34" ht="14.2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3:34" ht="14.2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3:34" ht="14.2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3:34" ht="14.2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3:34" ht="14.2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3:34" ht="14.2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3:34" ht="14.2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3:34" ht="14.2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3:34" ht="14.2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3:34" ht="14.2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3:34" ht="14.2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3:34" ht="14.2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3:34" ht="14.2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3:34" ht="14.2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3:34" ht="14.2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3:34" ht="14.2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3:34" ht="14.2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3:34" ht="14.2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3:34" ht="14.2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3:34" ht="14.2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3:34" ht="14.2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3:34" ht="14.2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3:34" ht="14.2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3:34" ht="14.2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3:34" ht="14.2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3:34" ht="14.2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3:34" ht="14.2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3:34" ht="14.2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3:34" ht="14.2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3:34" ht="14.2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3:34" ht="14.2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3:34" ht="14.2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3:34" ht="14.2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3:34" ht="14.2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3:34" ht="14.2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3:34" ht="14.2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3:34" ht="14.2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3:34" ht="14.2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3:34" ht="14.2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3:34" ht="14.2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3:34" ht="14.2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3:34" ht="14.2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3:34" ht="14.2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3:34" ht="14.2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3:34" ht="14.2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3:34" ht="14.2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3:34" ht="14.2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3:34" ht="14.2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3:34" ht="14.2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3:34" ht="14.2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3:34" ht="14.2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3:34" ht="14.2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3:34" ht="14.2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3:34" ht="14.2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3:34" ht="14.2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3:34" ht="14.2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3:34" ht="14.2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3:34" ht="14.2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3:34" ht="14.2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3:34" ht="14.2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3:34" ht="14.2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3:34" ht="14.2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3:34" ht="14.2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3:34" ht="14.2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3:34" ht="14.2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3:34" ht="14.2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3:34" ht="14.2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3:34" ht="14.2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3:34" ht="14.2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3:34" ht="14.2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3:34" ht="14.2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3:34" ht="14.2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3:34" ht="14.2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3:34" ht="14.2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3:34" ht="14.2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3:34" ht="14.2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3:34" ht="14.2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3:34" ht="14.2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3:34" ht="14.2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3:34" ht="14.2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3:34" ht="14.2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3:34" ht="14.2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3:34" ht="14.2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3:34" ht="14.2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3:34" ht="14.2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3:34" ht="14.2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3:34" ht="14.2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3:34" ht="14.2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3:34" ht="14.2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3:34" ht="14.2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3:34" ht="14.2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3:34" ht="14.2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3:34" ht="14.2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3:34" ht="14.2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3:34" ht="14.2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3:34" ht="14.2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3:34" ht="14.2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3:34" ht="14.2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3:34" ht="14.2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3:34" ht="14.2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3:34" ht="14.2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3:34" ht="14.2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3:34" ht="14.2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3:34" ht="14.2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3:34" ht="14.2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3:34" ht="14.2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3:34" ht="14.2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3:34" ht="14.2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3:34" ht="14.2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3:34" ht="14.2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3:34" ht="14.2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3:34" ht="14.2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3:34" ht="14.2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3:34" ht="14.2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3:34" ht="14.2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3:34" ht="14.2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3:34" ht="14.2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3:34" ht="14.2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3:34" ht="14.2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3:34" ht="14.2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3:34" ht="14.2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3:34" ht="14.2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3:34" ht="14.2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3:34" ht="14.2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3:34" ht="14.2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3:34" ht="14.2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3:34" ht="14.2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3:34" ht="14.2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3:34" ht="14.2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3:34" ht="14.2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3:34" ht="14.2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3:34" ht="14.2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3:34" ht="14.2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3:34" ht="14.2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3:34" ht="14.2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3:34" ht="14.2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3:34" ht="14.2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3:34" ht="14.2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3:34" ht="14.2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3:34" ht="14.2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3:34" ht="14.2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3:34" ht="14.2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3:34" ht="14.2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3:34" ht="14.2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3:34" ht="14.2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3:34" ht="14.2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3:34" ht="14.2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3:34" ht="14.2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3:34" ht="14.2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3:34" ht="14.2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3:34" ht="14.2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3:34" ht="14.2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3:34" ht="14.2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3:34" ht="14.2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3:34" ht="14.2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3:34" ht="14.2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3:34" ht="14.2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3:34" ht="14.2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3:34" ht="14.2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3:34" ht="14.2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3:34" ht="14.2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3:34" ht="14.2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3:34" ht="14.2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3:34" ht="14.2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3:34" ht="14.2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3:34" ht="14.2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3:34" ht="14.2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3:34" ht="14.2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3:34" ht="14.2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3:34" ht="14.2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3:34" ht="14.2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3:34" ht="14.2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3:34" ht="14.2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3:34" ht="14.2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3:34" ht="14.2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3:34" ht="14.2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3:34" ht="14.2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3:34" ht="14.2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3:34" ht="14.2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3:34" ht="14.2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3:34" ht="14.2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3:34" ht="14.2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3:34" ht="14.2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3:34" ht="14.2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3:34" ht="14.2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3:34" ht="14.2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3:34" ht="14.2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3:34" ht="14.2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3:34" ht="14.2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3:34" ht="14.2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3:34" ht="14.2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3:34" ht="14.2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3:34" ht="14.2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3:34" ht="14.2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3:34" ht="14.2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3:34" ht="14.2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3:34" ht="14.2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3:34" ht="14.2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3:34" ht="14.2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3:34" ht="14.2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3:34" ht="14.2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3:34" ht="14.2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3:34" ht="14.2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3:34" ht="14.2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3:34" ht="14.2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3:34" ht="14.2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3:34" ht="14.2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3:34" ht="14.2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3:34" ht="14.2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3:34" ht="14.2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3:34" ht="14.2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3:34" ht="14.2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3:34" ht="14.2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3:34" ht="14.2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3:34" ht="14.2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3:34" ht="14.2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3:34" ht="14.2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3:34" ht="14.2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3:34" ht="14.2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3:34" ht="14.2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3:34" ht="14.2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3:34" ht="14.2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3:34" ht="14.2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3:34" ht="14.2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3:34" ht="14.2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3:34" ht="14.2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3:34" ht="14.2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3:34" ht="14.2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3:34" ht="14.2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3:34" ht="14.2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3:34" ht="14.2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3:34" ht="14.2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3:34" ht="14.2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3:34" ht="14.2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3:34" ht="14.2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3:34" ht="14.2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3:34" ht="14.2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3:34" ht="14.2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3:34" ht="14.2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3:34" ht="14.2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3:34" ht="14.2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3:34" ht="14.2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3:34" ht="14.2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3:34" ht="14.2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3:34" ht="14.2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3:34" ht="14.2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3:34" ht="14.2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3:34" ht="14.2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3:34" ht="14.2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3:34" ht="14.2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3:34" ht="14.2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3:34" ht="14.2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3:34" ht="14.2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3:34" ht="14.2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3:34" ht="14.2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3:34" ht="14.2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3:34" ht="14.2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3:34" ht="14.2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3:34" ht="14.2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3:34" ht="14.2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3:34" ht="14.2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3:34" ht="14.2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3:34" ht="14.2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3:34" ht="14.2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3:34" ht="14.2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3:34" ht="14.2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3:34" ht="14.2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3:34" ht="14.2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3:34" ht="14.2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3:34" ht="14.2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3:34" ht="14.2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3:34" ht="14.2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3:34" ht="14.2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3:34" ht="14.2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3:34" ht="14.2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3:34" ht="14.2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3:34" ht="14.2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3:34" ht="14.2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3:34" ht="14.2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3:34" ht="14.2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3:34" ht="14.2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3:34" ht="14.2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3:34" ht="14.2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3:34" ht="14.2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3:34" ht="14.2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3:34" ht="14.2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3:34" ht="14.2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3:34" ht="14.2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3:34" ht="14.2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3:34" ht="14.2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3:34" ht="14.2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3:34" ht="14.2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3:34" ht="14.2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3:34" ht="14.2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3:34" ht="14.2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3:34" ht="14.2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3:34" ht="14.2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3:34" ht="14.2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3:34" ht="14.2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3:34" ht="14.2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3:34" ht="14.2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3:34" ht="14.2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3:34" ht="14.2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3:34" ht="14.2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3:34" ht="14.2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3:34" ht="14.2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3:34" ht="14.2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3:34" ht="14.2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3:34" ht="14.2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3:34" ht="14.2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3:34" ht="14.2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3:34" ht="14.2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3:34" ht="14.2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3:34" ht="14.2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3:34" ht="14.2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3:34" ht="14.2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3:34" ht="14.2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3:34" ht="14.2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3:34" ht="14.2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3:34" ht="14.2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3:34" ht="14.2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3:34" ht="14.2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3:34" ht="14.2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3:34" ht="14.2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3:34" ht="14.2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3:34" ht="14.2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3:34" ht="14.2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3:34" ht="14.2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3:34" ht="14.2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3:34" ht="14.2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3:34" ht="14.2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3:34" ht="14.2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3:34" ht="14.2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3:34" ht="14.2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3:34" ht="14.2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3:34" ht="14.2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3:34" ht="14.2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3:34" ht="14.2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3:34" ht="14.2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3:34" ht="14.2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3:34" ht="14.2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3:34" ht="14.2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3:34" ht="14.2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3:34" ht="14.2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3:34" ht="14.2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3:34" ht="14.2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3:34" ht="14.2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3:34" ht="14.2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3:34" ht="14.2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3:34" ht="14.2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3:34" ht="14.2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3:34" ht="14.2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3:34" ht="14.2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3:34" ht="14.2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3:34" ht="14.2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3:34" ht="14.2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3:34" ht="14.2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3:34" ht="14.2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baseColWidth="10" defaultColWidth="14.5" defaultRowHeight="15" customHeight="1"/>
  <cols>
    <col min="1" max="1" width="8.83203125" customWidth="1"/>
    <col min="2" max="2" width="14.5" customWidth="1"/>
    <col min="3" max="3" width="13.6640625" customWidth="1"/>
    <col min="4" max="4" width="14.5" customWidth="1"/>
    <col min="5" max="5" width="16.1640625" customWidth="1"/>
    <col min="6" max="6" width="13.83203125" customWidth="1"/>
    <col min="7" max="7" width="14.33203125" customWidth="1"/>
    <col min="8" max="26" width="8.6640625" customWidth="1"/>
  </cols>
  <sheetData>
    <row r="1" spans="1:11" ht="9" customHeight="1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 ht="14.25" customHeight="1">
      <c r="A2" s="3"/>
      <c r="B2" s="34"/>
      <c r="C2" s="35" t="s">
        <v>66</v>
      </c>
      <c r="D2" s="35" t="s">
        <v>65</v>
      </c>
      <c r="E2" s="36" t="s">
        <v>67</v>
      </c>
      <c r="F2" s="37" t="s">
        <v>121</v>
      </c>
      <c r="G2" s="38" t="s">
        <v>122</v>
      </c>
      <c r="H2" s="39" t="s">
        <v>123</v>
      </c>
      <c r="I2" s="3"/>
      <c r="J2" s="3"/>
    </row>
    <row r="3" spans="1:11" ht="14.25" customHeight="1">
      <c r="A3" s="3"/>
      <c r="B3" s="40" t="s">
        <v>0</v>
      </c>
      <c r="C3" s="41">
        <f>14/0.01</f>
        <v>1400</v>
      </c>
      <c r="D3" s="41">
        <f>(32/0.01)</f>
        <v>3200</v>
      </c>
      <c r="E3" s="42">
        <f>(1/0.01)*10^2</f>
        <v>10000</v>
      </c>
      <c r="F3" s="42">
        <f>(36/0.025)*10^6</f>
        <v>1440000000</v>
      </c>
      <c r="G3" s="42">
        <f>(131/0.025)*10^6</f>
        <v>5240000000</v>
      </c>
      <c r="H3" s="43">
        <f>(21/0.025)*10^4</f>
        <v>8400000</v>
      </c>
      <c r="I3" s="3"/>
      <c r="J3" s="3"/>
    </row>
    <row r="4" spans="1:11" ht="14.25" customHeight="1">
      <c r="A4" s="3">
        <v>1</v>
      </c>
      <c r="B4" s="44" t="s">
        <v>13</v>
      </c>
      <c r="C4" s="45">
        <f>(50/0.05)</f>
        <v>1000</v>
      </c>
      <c r="D4" s="45">
        <f>(141/0.05)</f>
        <v>2820</v>
      </c>
      <c r="E4" s="46">
        <f>(5/0.05)*10^2</f>
        <v>10000</v>
      </c>
      <c r="F4" s="47">
        <v>300</v>
      </c>
      <c r="G4" s="44">
        <v>500</v>
      </c>
      <c r="H4" s="34" t="s">
        <v>124</v>
      </c>
      <c r="I4" s="3"/>
      <c r="J4" s="3"/>
    </row>
    <row r="5" spans="1:11" ht="6.7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1" ht="14.25" customHeight="1">
      <c r="A6" s="3"/>
      <c r="B6" s="34"/>
      <c r="C6" s="35" t="s">
        <v>72</v>
      </c>
      <c r="D6" s="35" t="s">
        <v>74</v>
      </c>
      <c r="E6" s="36" t="s">
        <v>125</v>
      </c>
      <c r="F6" s="38" t="s">
        <v>126</v>
      </c>
      <c r="G6" s="38" t="s">
        <v>123</v>
      </c>
      <c r="H6" s="39" t="s">
        <v>127</v>
      </c>
      <c r="I6" s="3"/>
      <c r="J6" s="3"/>
      <c r="K6" s="1"/>
    </row>
    <row r="7" spans="1:11" ht="14.25" customHeight="1">
      <c r="A7" s="3"/>
      <c r="B7" s="40" t="s">
        <v>0</v>
      </c>
      <c r="C7" s="42">
        <f>(4/0.01)*10^2</f>
        <v>40000</v>
      </c>
      <c r="D7" s="42">
        <f>(3/0.01)*10^2</f>
        <v>30000</v>
      </c>
      <c r="E7" s="42">
        <f>(19/0.01)*10^2</f>
        <v>190000</v>
      </c>
      <c r="F7" s="48">
        <f>(3/0.05)*10^6</f>
        <v>60000000</v>
      </c>
      <c r="G7" s="49">
        <f>(21/0.025)*10^4</f>
        <v>8400000</v>
      </c>
      <c r="H7" s="50">
        <f>(51/0.05)*10^6</f>
        <v>1020000000</v>
      </c>
      <c r="I7" s="3"/>
      <c r="J7" s="3"/>
    </row>
    <row r="8" spans="1:11" ht="14.25" customHeight="1">
      <c r="A8" s="3">
        <v>2</v>
      </c>
      <c r="B8" s="44" t="s">
        <v>128</v>
      </c>
      <c r="C8" s="51">
        <f>(9/0.025)*10^2</f>
        <v>36000</v>
      </c>
      <c r="D8" s="51">
        <f>(66/0.025)</f>
        <v>2640</v>
      </c>
      <c r="E8" s="46">
        <f>(35/0.025)*10^2</f>
        <v>140000</v>
      </c>
      <c r="F8" s="52">
        <v>100</v>
      </c>
      <c r="G8" s="52">
        <v>100</v>
      </c>
      <c r="H8" s="52">
        <v>400</v>
      </c>
      <c r="I8" s="3"/>
      <c r="J8" s="3"/>
    </row>
    <row r="9" spans="1:11" ht="6.7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1" ht="14.25" customHeight="1">
      <c r="A10" s="3"/>
      <c r="B10" s="34"/>
      <c r="C10" s="35" t="s">
        <v>68</v>
      </c>
      <c r="D10" s="35" t="s">
        <v>70</v>
      </c>
      <c r="E10" s="36" t="s">
        <v>129</v>
      </c>
      <c r="F10" s="38" t="s">
        <v>126</v>
      </c>
      <c r="G10" s="38" t="s">
        <v>123</v>
      </c>
      <c r="H10" s="39" t="s">
        <v>127</v>
      </c>
      <c r="I10" s="3"/>
      <c r="J10" s="3"/>
    </row>
    <row r="11" spans="1:11" ht="14.25" customHeight="1">
      <c r="A11" s="3"/>
      <c r="B11" s="40" t="s">
        <v>0</v>
      </c>
      <c r="C11" s="41">
        <f>36/0.01</f>
        <v>3600</v>
      </c>
      <c r="D11" s="41" t="s">
        <v>71</v>
      </c>
      <c r="E11" s="41">
        <f>25/0.01</f>
        <v>2500</v>
      </c>
      <c r="F11" s="48">
        <f>(3/0.05)*10^6</f>
        <v>60000000</v>
      </c>
      <c r="G11" s="49">
        <f>(21/0.025)*10^4</f>
        <v>8400000</v>
      </c>
      <c r="H11" s="50">
        <f>(51/0.05)*10^6</f>
        <v>1020000000</v>
      </c>
      <c r="I11" s="3"/>
      <c r="J11" s="3"/>
    </row>
    <row r="12" spans="1:11" ht="14.25" customHeight="1">
      <c r="A12" s="3">
        <v>3</v>
      </c>
      <c r="B12" s="44" t="s">
        <v>130</v>
      </c>
      <c r="C12" s="51">
        <f>(5/0.025)*10^2</f>
        <v>20000</v>
      </c>
      <c r="D12" s="45">
        <f>(1/0.025)</f>
        <v>40</v>
      </c>
      <c r="E12" s="53">
        <f>(15/0.025)</f>
        <v>600</v>
      </c>
      <c r="F12" s="52">
        <v>100</v>
      </c>
      <c r="G12" s="52">
        <v>200</v>
      </c>
      <c r="H12" s="52">
        <v>600</v>
      </c>
      <c r="I12" s="3"/>
      <c r="J12" s="3"/>
    </row>
    <row r="13" spans="1:11" ht="6" customHeight="1">
      <c r="A13" s="3"/>
      <c r="B13" s="3"/>
      <c r="C13" s="3"/>
      <c r="D13" s="54"/>
      <c r="E13" s="3"/>
      <c r="F13" s="3"/>
      <c r="G13" s="3"/>
      <c r="H13" s="3"/>
      <c r="I13" s="3"/>
      <c r="J13" s="3"/>
    </row>
    <row r="14" spans="1:11" ht="14.25" customHeight="1">
      <c r="A14" s="3"/>
      <c r="B14" s="34"/>
      <c r="C14" s="35" t="s">
        <v>131</v>
      </c>
      <c r="D14" s="38" t="s">
        <v>121</v>
      </c>
      <c r="E14" s="3"/>
      <c r="F14" s="3"/>
      <c r="G14" s="3"/>
      <c r="H14" s="3"/>
      <c r="I14" s="3"/>
      <c r="J14" s="3"/>
    </row>
    <row r="15" spans="1:11" ht="14.25" customHeight="1">
      <c r="A15" s="3"/>
      <c r="B15" s="40" t="s">
        <v>0</v>
      </c>
      <c r="C15" s="42">
        <f>(34/0.01)*10^2</f>
        <v>340000</v>
      </c>
      <c r="D15" s="42">
        <f>(36/0.025)*10^6</f>
        <v>1440000000</v>
      </c>
      <c r="E15" s="55"/>
      <c r="F15" s="55"/>
      <c r="G15" s="55"/>
      <c r="H15" s="55"/>
      <c r="I15" s="3"/>
      <c r="J15" s="3"/>
    </row>
    <row r="16" spans="1:11" ht="14.25" customHeight="1">
      <c r="A16" s="3">
        <v>4</v>
      </c>
      <c r="B16" s="44" t="s">
        <v>132</v>
      </c>
      <c r="C16" s="51">
        <f>(32/0.01)*10^2</f>
        <v>320000</v>
      </c>
      <c r="D16" s="45">
        <f>500</f>
        <v>500</v>
      </c>
      <c r="E16" s="55"/>
      <c r="F16" s="56"/>
      <c r="G16" s="3"/>
      <c r="H16" s="3"/>
      <c r="I16" s="3"/>
      <c r="J16" s="3"/>
    </row>
    <row r="17" spans="1:12" ht="5.2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2" ht="14.25" customHeight="1">
      <c r="A18" s="3"/>
      <c r="B18" s="34"/>
      <c r="C18" s="35" t="s">
        <v>62</v>
      </c>
      <c r="D18" s="35" t="s">
        <v>61</v>
      </c>
      <c r="E18" s="36" t="s">
        <v>133</v>
      </c>
      <c r="F18" s="35" t="s">
        <v>64</v>
      </c>
      <c r="G18" s="35" t="s">
        <v>60</v>
      </c>
      <c r="H18" s="38" t="s">
        <v>121</v>
      </c>
      <c r="I18" s="39" t="s">
        <v>134</v>
      </c>
      <c r="J18" s="38" t="s">
        <v>127</v>
      </c>
      <c r="K18" s="39" t="s">
        <v>122</v>
      </c>
      <c r="L18" s="39" t="s">
        <v>126</v>
      </c>
    </row>
    <row r="19" spans="1:12" ht="14.25" customHeight="1">
      <c r="A19" s="3"/>
      <c r="B19" s="40" t="s">
        <v>0</v>
      </c>
      <c r="C19" s="42">
        <f>(15/0.01)*10^2</f>
        <v>150000</v>
      </c>
      <c r="D19" s="42">
        <f>(4/0.01)*10^4</f>
        <v>4000000</v>
      </c>
      <c r="E19" s="42">
        <f>(11/0.01)*10^2</f>
        <v>110000</v>
      </c>
      <c r="F19" s="57">
        <f>(92/0.01)</f>
        <v>9200</v>
      </c>
      <c r="G19" s="48">
        <f>(3/0.01)*10^2</f>
        <v>30000</v>
      </c>
      <c r="H19" s="42">
        <f>(36/0.025)*10^6</f>
        <v>1440000000</v>
      </c>
      <c r="I19" s="49">
        <f>(9/0.025)*10^4</f>
        <v>3600000</v>
      </c>
      <c r="J19" s="50">
        <f>(51/0.05)*10^6</f>
        <v>1020000000</v>
      </c>
      <c r="K19" s="42">
        <f>(131/0.025)*10^6</f>
        <v>5240000000</v>
      </c>
      <c r="L19" s="48">
        <f>(3/0.05)*10^6</f>
        <v>60000000</v>
      </c>
    </row>
    <row r="20" spans="1:12" ht="14.25" customHeight="1">
      <c r="A20" s="3">
        <v>5</v>
      </c>
      <c r="B20" s="44" t="s">
        <v>135</v>
      </c>
      <c r="C20" s="51">
        <f>(19/0.01)*10^2</f>
        <v>190000</v>
      </c>
      <c r="D20" s="45">
        <f>(12/0.01)</f>
        <v>1200</v>
      </c>
      <c r="E20" s="46">
        <f>(14/0.01)*10^2</f>
        <v>140000</v>
      </c>
      <c r="F20" s="58">
        <f>(5/0.01)*10^2</f>
        <v>50000</v>
      </c>
      <c r="G20" s="58">
        <f>(2/0.01)*10^2</f>
        <v>20000</v>
      </c>
      <c r="H20" s="59">
        <f>1700</f>
        <v>1700</v>
      </c>
      <c r="I20" s="58">
        <f>60000</f>
        <v>60000</v>
      </c>
      <c r="J20" s="44">
        <f>200</f>
        <v>200</v>
      </c>
      <c r="K20" s="34">
        <f>500</f>
        <v>500</v>
      </c>
      <c r="L20" s="34">
        <f>200</f>
        <v>200</v>
      </c>
    </row>
    <row r="21" spans="1:12" ht="14.25" customHeight="1">
      <c r="A21" s="3"/>
      <c r="B21" s="3"/>
      <c r="C21" s="55"/>
      <c r="D21" s="56"/>
      <c r="E21" s="55"/>
      <c r="F21" s="55"/>
      <c r="G21" s="55"/>
      <c r="H21" s="3"/>
      <c r="I21" s="55"/>
      <c r="J21" s="3"/>
      <c r="K21" s="3"/>
      <c r="L21" s="3"/>
    </row>
    <row r="22" spans="1:12" ht="14.25" customHeight="1">
      <c r="A22" s="3"/>
      <c r="B22" s="34"/>
      <c r="C22" s="35" t="s">
        <v>76</v>
      </c>
      <c r="D22" s="35" t="s">
        <v>75</v>
      </c>
      <c r="E22" s="39" t="s">
        <v>123</v>
      </c>
      <c r="F22" s="38" t="s">
        <v>126</v>
      </c>
      <c r="G22" s="55"/>
      <c r="H22" s="3"/>
      <c r="I22" s="55"/>
      <c r="J22" s="3"/>
      <c r="K22" s="3"/>
      <c r="L22" s="3"/>
    </row>
    <row r="23" spans="1:12" ht="14.25" customHeight="1">
      <c r="A23" s="3"/>
      <c r="B23" s="40" t="s">
        <v>0</v>
      </c>
      <c r="C23" s="42">
        <f>(94/0.05)*10^2</f>
        <v>188000</v>
      </c>
      <c r="D23" s="41"/>
      <c r="E23" s="42">
        <f>(21/0.025)*10^4</f>
        <v>8400000</v>
      </c>
      <c r="F23" s="42">
        <f>(3/0.05)*10^6</f>
        <v>60000000</v>
      </c>
      <c r="G23" s="55"/>
      <c r="H23" s="3"/>
      <c r="I23" s="55"/>
      <c r="J23" s="3"/>
      <c r="L23" s="3"/>
    </row>
    <row r="24" spans="1:12" ht="14.25" customHeight="1">
      <c r="A24" s="3">
        <v>6</v>
      </c>
      <c r="B24" s="44" t="s">
        <v>16</v>
      </c>
      <c r="C24" s="51">
        <f>(152/0.05)*10^2</f>
        <v>304000</v>
      </c>
      <c r="D24" s="51">
        <f>(4/0.05)*10^4</f>
        <v>800000</v>
      </c>
      <c r="E24" s="53">
        <v>700</v>
      </c>
      <c r="F24" s="51">
        <v>14400</v>
      </c>
      <c r="G24" s="55"/>
      <c r="H24" s="3"/>
      <c r="I24" s="55"/>
      <c r="J24" s="3"/>
      <c r="K24" s="3"/>
      <c r="L24" s="3"/>
    </row>
    <row r="25" spans="1:12" ht="14.25" customHeight="1">
      <c r="A25" s="3"/>
      <c r="B25" s="3"/>
      <c r="C25" s="55"/>
      <c r="D25" s="56"/>
      <c r="E25" s="55"/>
      <c r="F25" s="55"/>
      <c r="G25" s="55"/>
      <c r="H25" s="3"/>
      <c r="I25" s="55"/>
      <c r="J25" s="3"/>
      <c r="K25" s="3"/>
      <c r="L25" s="3"/>
    </row>
    <row r="26" spans="1:12" ht="14.25" customHeight="1">
      <c r="A26" s="3"/>
      <c r="B26" s="34"/>
      <c r="C26" s="35" t="s">
        <v>77</v>
      </c>
      <c r="D26" s="35" t="s">
        <v>79</v>
      </c>
      <c r="E26" s="36" t="s">
        <v>136</v>
      </c>
      <c r="F26" s="38" t="s">
        <v>126</v>
      </c>
      <c r="G26" s="38" t="s">
        <v>123</v>
      </c>
      <c r="H26" s="39" t="s">
        <v>127</v>
      </c>
      <c r="I26" s="55"/>
      <c r="J26" s="3"/>
      <c r="K26" s="3"/>
      <c r="L26" s="3"/>
    </row>
    <row r="27" spans="1:12" ht="14.25" customHeight="1">
      <c r="A27" s="3"/>
      <c r="B27" s="40" t="s">
        <v>0</v>
      </c>
      <c r="C27" s="42">
        <f>(5/0.05)*10^4</f>
        <v>1000000</v>
      </c>
      <c r="D27" s="42">
        <f>(166/0.05)*10^2</f>
        <v>332000</v>
      </c>
      <c r="E27" s="42">
        <f>(38/0.05)*10^2</f>
        <v>76000</v>
      </c>
      <c r="F27" s="42">
        <f>(3/0.05)*10^6</f>
        <v>60000000</v>
      </c>
      <c r="G27" s="42">
        <f>(21/0.025)*10^4</f>
        <v>8400000</v>
      </c>
      <c r="H27" s="50">
        <f>(51/0.05)*10^6</f>
        <v>1020000000</v>
      </c>
      <c r="I27" s="55"/>
      <c r="J27" s="3"/>
      <c r="K27" s="3"/>
      <c r="L27" s="3"/>
    </row>
    <row r="28" spans="1:12" ht="14.25" customHeight="1">
      <c r="A28" s="3">
        <v>7</v>
      </c>
      <c r="B28" s="44" t="s">
        <v>17</v>
      </c>
      <c r="C28" s="51">
        <f>(32/0.05)*10^4</f>
        <v>6400000</v>
      </c>
      <c r="D28" s="51">
        <f>(18/0.05)*10^4</f>
        <v>3600000</v>
      </c>
      <c r="E28" s="46">
        <f>(73/0.05)*10^2</f>
        <v>146000</v>
      </c>
      <c r="F28" s="58">
        <v>14300</v>
      </c>
      <c r="G28" s="52">
        <v>600</v>
      </c>
      <c r="H28" s="52">
        <v>100</v>
      </c>
      <c r="I28" s="55"/>
      <c r="J28" s="3"/>
      <c r="K28" s="3"/>
      <c r="L28" s="3"/>
    </row>
    <row r="29" spans="1:12" ht="14.25" customHeight="1">
      <c r="A29" s="3"/>
      <c r="D29" s="60"/>
    </row>
    <row r="30" spans="1:12" ht="14.25" customHeight="1">
      <c r="A30" s="3"/>
      <c r="B30" s="34"/>
      <c r="C30" s="35" t="s">
        <v>111</v>
      </c>
      <c r="D30" s="35" t="s">
        <v>112</v>
      </c>
      <c r="E30" s="36" t="s">
        <v>113</v>
      </c>
      <c r="F30" s="35" t="s">
        <v>114</v>
      </c>
      <c r="G30" s="38" t="s">
        <v>134</v>
      </c>
      <c r="H30" s="39" t="s">
        <v>137</v>
      </c>
      <c r="I30" s="38" t="s">
        <v>122</v>
      </c>
      <c r="J30" s="39" t="s">
        <v>123</v>
      </c>
    </row>
    <row r="31" spans="1:12" ht="14.25" customHeight="1">
      <c r="A31" s="3"/>
      <c r="B31" s="40" t="s">
        <v>0</v>
      </c>
      <c r="C31" s="42">
        <f>(18/0.01)*10^2</f>
        <v>180000</v>
      </c>
      <c r="D31" s="42">
        <f>(21/0.01)*10^2</f>
        <v>210000</v>
      </c>
      <c r="E31" s="41">
        <f>(38/0.01)</f>
        <v>3800</v>
      </c>
      <c r="F31" s="57">
        <f>(10/0.01)</f>
        <v>1000</v>
      </c>
      <c r="G31" s="49">
        <f>(9/0.025)*10^4</f>
        <v>3600000</v>
      </c>
      <c r="H31" s="61">
        <f>(5/0.025)*10^6</f>
        <v>200000000</v>
      </c>
      <c r="I31" s="42">
        <f>(131/0.025)*10^6</f>
        <v>5240000000</v>
      </c>
      <c r="J31" s="43">
        <f>(21/0.025)*10^4</f>
        <v>8400000</v>
      </c>
    </row>
    <row r="32" spans="1:12" ht="14.25" customHeight="1">
      <c r="A32" s="3">
        <v>8</v>
      </c>
      <c r="B32" s="44" t="s">
        <v>138</v>
      </c>
      <c r="C32" s="51">
        <f>(11/0.01)*10^2</f>
        <v>110000</v>
      </c>
      <c r="D32" s="51">
        <f>(15/0.01)*10^2</f>
        <v>150000</v>
      </c>
      <c r="E32" s="45">
        <f>(19/0.01)</f>
        <v>1900</v>
      </c>
      <c r="F32" s="52">
        <f>(6/0.01)</f>
        <v>600</v>
      </c>
      <c r="G32" s="59">
        <f>500</f>
        <v>500</v>
      </c>
      <c r="H32" s="52">
        <v>100</v>
      </c>
      <c r="I32" s="45">
        <v>100</v>
      </c>
      <c r="J32" s="46">
        <f>15800</f>
        <v>15800</v>
      </c>
    </row>
    <row r="33" spans="1:12" ht="6.75" customHeight="1">
      <c r="A33" s="3"/>
    </row>
    <row r="34" spans="1:12" ht="14.25" customHeight="1">
      <c r="A34" s="3"/>
      <c r="B34" s="34"/>
      <c r="C34" s="35" t="s">
        <v>115</v>
      </c>
      <c r="D34" s="35" t="s">
        <v>116</v>
      </c>
      <c r="E34" s="36" t="s">
        <v>118</v>
      </c>
      <c r="F34" s="35" t="s">
        <v>117</v>
      </c>
      <c r="G34" s="38" t="s">
        <v>137</v>
      </c>
      <c r="H34" s="39" t="s">
        <v>139</v>
      </c>
      <c r="I34" s="38" t="s">
        <v>123</v>
      </c>
      <c r="J34" s="39" t="s">
        <v>126</v>
      </c>
    </row>
    <row r="35" spans="1:12" ht="14.25" customHeight="1">
      <c r="A35" s="3"/>
      <c r="B35" s="40" t="s">
        <v>0</v>
      </c>
      <c r="C35" s="42">
        <f t="shared" ref="C35:C36" si="0">(6/0.01)*10^4</f>
        <v>6000000</v>
      </c>
      <c r="D35" s="42">
        <f>(24/0.01)*10^2</f>
        <v>240000</v>
      </c>
      <c r="E35" s="41">
        <f>(12/0.01)</f>
        <v>1200</v>
      </c>
      <c r="F35" s="48">
        <f>(2/0.01)*10^2</f>
        <v>20000</v>
      </c>
      <c r="G35" s="49">
        <f>(5/0.025)*10^6</f>
        <v>200000000</v>
      </c>
      <c r="H35" s="61">
        <f>(10/0.025)*10^6</f>
        <v>400000000</v>
      </c>
      <c r="I35" s="43">
        <f>(21/0.025)*10^4</f>
        <v>8400000</v>
      </c>
      <c r="J35" s="62">
        <f>(3/0.05)*10^6</f>
        <v>60000000</v>
      </c>
    </row>
    <row r="36" spans="1:12" ht="14.25" customHeight="1">
      <c r="A36" s="3">
        <v>9</v>
      </c>
      <c r="B36" s="44" t="s">
        <v>140</v>
      </c>
      <c r="C36" s="51">
        <f t="shared" si="0"/>
        <v>6000000</v>
      </c>
      <c r="D36" s="51">
        <f>(31/0.01)*10^2</f>
        <v>310000</v>
      </c>
      <c r="E36" s="53">
        <f>(22/0.01)</f>
        <v>2200</v>
      </c>
      <c r="F36" s="58">
        <f>(4/0.01)*10^2</f>
        <v>40000</v>
      </c>
      <c r="G36" s="58">
        <v>200</v>
      </c>
      <c r="H36" s="58">
        <v>200</v>
      </c>
      <c r="I36" s="44" t="s">
        <v>124</v>
      </c>
      <c r="J36" s="34" t="s">
        <v>124</v>
      </c>
    </row>
    <row r="37" spans="1:12" ht="14.25" customHeight="1">
      <c r="A37" s="3"/>
      <c r="B37" s="3"/>
      <c r="C37" s="55"/>
      <c r="D37" s="55"/>
      <c r="E37" s="56"/>
      <c r="F37" s="55"/>
      <c r="G37" s="55"/>
      <c r="H37" s="55"/>
      <c r="I37" s="3"/>
      <c r="J37" s="3"/>
    </row>
    <row r="38" spans="1:12" ht="14.25" customHeight="1">
      <c r="A38" s="3"/>
      <c r="B38" s="34"/>
      <c r="C38" s="35" t="s">
        <v>120</v>
      </c>
      <c r="D38" s="35" t="s">
        <v>119</v>
      </c>
      <c r="E38" s="39" t="s">
        <v>123</v>
      </c>
      <c r="F38" s="38" t="s">
        <v>121</v>
      </c>
      <c r="G38" s="55"/>
      <c r="H38" s="55"/>
      <c r="I38" s="3"/>
      <c r="J38" s="3"/>
    </row>
    <row r="39" spans="1:12" ht="14.25" customHeight="1">
      <c r="A39" s="3"/>
      <c r="B39" s="40" t="s">
        <v>0</v>
      </c>
      <c r="C39" s="42">
        <f>(10/0.05)*10^2</f>
        <v>20000</v>
      </c>
      <c r="D39" s="42">
        <f>(89/0.05)*10^2</f>
        <v>178000</v>
      </c>
      <c r="E39" s="42">
        <f>(21/0.025)*10^4</f>
        <v>8400000</v>
      </c>
      <c r="F39" s="42">
        <f>(36/0.025)*10^6</f>
        <v>1440000000</v>
      </c>
      <c r="G39" s="55"/>
      <c r="H39" s="55"/>
      <c r="I39" s="3"/>
      <c r="J39" s="3"/>
    </row>
    <row r="40" spans="1:12" ht="14.25" customHeight="1">
      <c r="A40" s="3">
        <v>10</v>
      </c>
      <c r="B40" s="44" t="s">
        <v>31</v>
      </c>
      <c r="C40" s="51">
        <f>(5/0.05)*10^2</f>
        <v>10000</v>
      </c>
      <c r="D40" s="51">
        <f>(68/0.05)*10^2</f>
        <v>136000</v>
      </c>
      <c r="E40" s="46">
        <v>86000</v>
      </c>
      <c r="F40" s="52">
        <v>1100</v>
      </c>
      <c r="G40" s="63"/>
      <c r="H40" s="55"/>
      <c r="I40" s="3"/>
      <c r="J40" s="3"/>
    </row>
    <row r="41" spans="1:12" ht="14.25" customHeight="1">
      <c r="A41" s="3"/>
      <c r="G41" s="24"/>
    </row>
    <row r="42" spans="1:12" ht="14.25" customHeight="1">
      <c r="A42" s="3"/>
      <c r="B42" s="34"/>
      <c r="C42" s="35" t="s">
        <v>141</v>
      </c>
      <c r="D42" s="35" t="s">
        <v>142</v>
      </c>
      <c r="E42" s="39" t="s">
        <v>126</v>
      </c>
      <c r="F42" s="38" t="s">
        <v>123</v>
      </c>
      <c r="G42" s="64"/>
      <c r="H42" s="3"/>
      <c r="L42" s="1"/>
    </row>
    <row r="43" spans="1:12" ht="14.25" customHeight="1">
      <c r="A43" s="3"/>
      <c r="B43" s="40" t="s">
        <v>0</v>
      </c>
      <c r="C43" s="42">
        <f>(7/0.01)*10^2</f>
        <v>70000</v>
      </c>
      <c r="D43" s="41">
        <f>23/0.01</f>
        <v>2300</v>
      </c>
      <c r="E43" s="42">
        <f>(3/0.05)*10^6</f>
        <v>60000000</v>
      </c>
      <c r="F43" s="42">
        <f>(21/0.025)*10^4</f>
        <v>8400000</v>
      </c>
      <c r="G43" s="65"/>
      <c r="H43" s="55"/>
      <c r="L43" s="1"/>
    </row>
    <row r="44" spans="1:12" ht="14.25" customHeight="1">
      <c r="A44" s="3">
        <v>11</v>
      </c>
      <c r="B44" s="44" t="s">
        <v>143</v>
      </c>
      <c r="C44" s="51">
        <f>(130/0.01)</f>
        <v>13000</v>
      </c>
      <c r="D44" s="45">
        <f>(32/0.01)</f>
        <v>3200</v>
      </c>
      <c r="E44" s="46" t="s">
        <v>124</v>
      </c>
      <c r="F44" s="58">
        <v>83600</v>
      </c>
      <c r="G44" s="64"/>
      <c r="H44" s="3"/>
    </row>
    <row r="45" spans="1:12" ht="14.25" customHeight="1">
      <c r="A45" s="3"/>
    </row>
    <row r="46" spans="1:12" ht="14.25" customHeight="1">
      <c r="A46" s="3"/>
      <c r="B46" s="34"/>
      <c r="C46" s="35" t="s">
        <v>43</v>
      </c>
      <c r="D46" s="35" t="s">
        <v>41</v>
      </c>
      <c r="E46" s="36" t="s">
        <v>40</v>
      </c>
      <c r="F46" s="35" t="s">
        <v>44</v>
      </c>
      <c r="G46" s="35" t="s">
        <v>144</v>
      </c>
      <c r="H46" s="39" t="s">
        <v>126</v>
      </c>
      <c r="I46" s="39" t="s">
        <v>139</v>
      </c>
      <c r="J46" s="39" t="s">
        <v>137</v>
      </c>
      <c r="K46" s="39" t="s">
        <v>123</v>
      </c>
      <c r="L46" s="39" t="s">
        <v>134</v>
      </c>
    </row>
    <row r="47" spans="1:12" ht="14.25" customHeight="1">
      <c r="A47" s="3"/>
      <c r="B47" s="40" t="s">
        <v>0</v>
      </c>
      <c r="C47" s="42">
        <f>75/0.01</f>
        <v>7500</v>
      </c>
      <c r="D47" s="42" t="s">
        <v>42</v>
      </c>
      <c r="E47" s="42">
        <f>(43/0.01)*10^2</f>
        <v>430000</v>
      </c>
      <c r="F47" s="48" t="s">
        <v>42</v>
      </c>
      <c r="G47" s="49">
        <f>(17/0.01)*10^2</f>
        <v>170000</v>
      </c>
      <c r="H47" s="43">
        <f>(3/0.05)*10^6</f>
        <v>60000000</v>
      </c>
      <c r="I47" s="61">
        <f>(10/0.025)*10^6</f>
        <v>400000000</v>
      </c>
      <c r="J47" s="49">
        <f>(5/0.025)*10^6</f>
        <v>200000000</v>
      </c>
      <c r="K47" s="43">
        <f>(21/0.025)*10^4</f>
        <v>8400000</v>
      </c>
      <c r="L47" s="49">
        <f>(9/0.025)*10^4</f>
        <v>3600000</v>
      </c>
    </row>
    <row r="48" spans="1:12" ht="14.25" customHeight="1">
      <c r="A48" s="3">
        <v>12</v>
      </c>
      <c r="B48" s="44" t="s">
        <v>145</v>
      </c>
      <c r="C48" s="45">
        <f>96/0.01</f>
        <v>9600</v>
      </c>
      <c r="D48" s="45">
        <f>1/0.01</f>
        <v>100</v>
      </c>
      <c r="E48" s="46">
        <f>(40/0.01)*10^2</f>
        <v>400000</v>
      </c>
      <c r="F48" s="52">
        <f>1/0.01</f>
        <v>100</v>
      </c>
      <c r="G48" s="58">
        <f>(32/0.01)*10^2</f>
        <v>320000</v>
      </c>
      <c r="H48" s="44" t="s">
        <v>124</v>
      </c>
      <c r="I48" s="59" t="s">
        <v>146</v>
      </c>
      <c r="J48" s="58" t="s">
        <v>146</v>
      </c>
      <c r="K48" s="58">
        <f>25100</f>
        <v>25100</v>
      </c>
      <c r="L48" s="58" t="s">
        <v>146</v>
      </c>
    </row>
    <row r="49" spans="1:10" ht="14.25" customHeight="1">
      <c r="A49" s="3"/>
      <c r="G49" s="66"/>
    </row>
    <row r="50" spans="1:10" ht="14.25" customHeight="1">
      <c r="A50" s="3"/>
      <c r="B50" s="34"/>
      <c r="C50" s="35" t="s">
        <v>147</v>
      </c>
      <c r="D50" s="35" t="s">
        <v>46</v>
      </c>
      <c r="E50" s="39" t="s">
        <v>137</v>
      </c>
      <c r="F50" s="38" t="s">
        <v>134</v>
      </c>
      <c r="G50" s="64"/>
      <c r="H50" s="3"/>
      <c r="J50" s="1"/>
    </row>
    <row r="51" spans="1:10" ht="14.25" customHeight="1">
      <c r="A51" s="3"/>
      <c r="B51" s="40" t="s">
        <v>0</v>
      </c>
      <c r="C51" s="42">
        <f>(3/0.01)*10^2</f>
        <v>30000</v>
      </c>
      <c r="D51" s="41">
        <f>(78/0.01)</f>
        <v>7800</v>
      </c>
      <c r="E51" s="42">
        <f>(5/0.025)*10^6</f>
        <v>200000000</v>
      </c>
      <c r="F51" s="49">
        <f>(9/0.025)*10^4</f>
        <v>3600000</v>
      </c>
      <c r="G51" s="65"/>
      <c r="H51" s="55"/>
    </row>
    <row r="52" spans="1:10" ht="14.25" customHeight="1">
      <c r="A52" s="3">
        <v>13</v>
      </c>
      <c r="B52" s="44" t="s">
        <v>148</v>
      </c>
      <c r="C52" s="51">
        <f>(2/0.01)*10^2</f>
        <v>20000</v>
      </c>
      <c r="D52" s="51">
        <f>(1/0.01)*10^2</f>
        <v>10000</v>
      </c>
      <c r="E52" s="53">
        <v>100</v>
      </c>
      <c r="F52" s="52" t="s">
        <v>146</v>
      </c>
      <c r="G52" s="64"/>
      <c r="H52" s="3"/>
    </row>
    <row r="53" spans="1:10" ht="14.25" customHeight="1">
      <c r="A53" s="3"/>
    </row>
    <row r="54" spans="1:10" ht="14.25" customHeight="1">
      <c r="A54" s="3"/>
      <c r="B54" s="34"/>
      <c r="C54" s="35" t="s">
        <v>149</v>
      </c>
      <c r="D54" s="35" t="s">
        <v>150</v>
      </c>
      <c r="E54" s="39" t="s">
        <v>134</v>
      </c>
      <c r="F54" s="38" t="s">
        <v>139</v>
      </c>
    </row>
    <row r="55" spans="1:10" ht="14.25" customHeight="1">
      <c r="A55" s="3"/>
      <c r="B55" s="40" t="s">
        <v>0</v>
      </c>
      <c r="C55" s="42">
        <f>(34/0.01)*10^2</f>
        <v>340000</v>
      </c>
      <c r="D55" s="42">
        <f>(14/0.01)*10^2</f>
        <v>140000</v>
      </c>
      <c r="E55" s="42">
        <f>(9/0.025)*10^4</f>
        <v>3600000</v>
      </c>
      <c r="F55" s="49">
        <f>(10/0.025)*10^6</f>
        <v>400000000</v>
      </c>
    </row>
    <row r="56" spans="1:10" ht="14.25" customHeight="1">
      <c r="A56" s="3">
        <v>14</v>
      </c>
      <c r="B56" s="44" t="s">
        <v>151</v>
      </c>
      <c r="C56" s="51">
        <f>(50/0.01)*10^2</f>
        <v>500000</v>
      </c>
      <c r="D56" s="51">
        <f>(24/0.01)*10^2</f>
        <v>240000</v>
      </c>
      <c r="E56" s="53">
        <f>300</f>
        <v>300</v>
      </c>
      <c r="F56" s="58">
        <v>23000</v>
      </c>
    </row>
    <row r="57" spans="1:10" ht="14.25" customHeight="1">
      <c r="A57" s="3"/>
    </row>
    <row r="58" spans="1:10" ht="14.25" customHeight="1">
      <c r="A58" s="3"/>
      <c r="B58" s="34"/>
      <c r="C58" s="35" t="s">
        <v>34</v>
      </c>
      <c r="D58" s="35" t="s">
        <v>152</v>
      </c>
      <c r="E58" s="36" t="s">
        <v>36</v>
      </c>
      <c r="F58" s="38" t="s">
        <v>134</v>
      </c>
      <c r="G58" s="38" t="s">
        <v>139</v>
      </c>
      <c r="H58" s="39" t="s">
        <v>137</v>
      </c>
    </row>
    <row r="59" spans="1:10" ht="14.25" customHeight="1">
      <c r="A59" s="3"/>
      <c r="B59" s="40" t="s">
        <v>0</v>
      </c>
      <c r="C59" s="42">
        <f>(40/0.01)*10^2</f>
        <v>400000</v>
      </c>
      <c r="D59" s="42">
        <f>(32/0.01)*10^2</f>
        <v>320000</v>
      </c>
      <c r="E59" s="42">
        <f>(2/0.01)*10^4</f>
        <v>2000000</v>
      </c>
      <c r="F59" s="49">
        <f>(9/0.025)*10^4</f>
        <v>3600000</v>
      </c>
      <c r="G59" s="49">
        <f>(10/0.025)*10^6</f>
        <v>400000000</v>
      </c>
      <c r="H59" s="49">
        <f>(5/0.025)*10^6</f>
        <v>200000000</v>
      </c>
    </row>
    <row r="60" spans="1:10" ht="14.25" customHeight="1">
      <c r="A60" s="3">
        <v>15</v>
      </c>
      <c r="B60" s="44" t="s">
        <v>153</v>
      </c>
      <c r="C60" s="51">
        <f>(3/0.05)*10^4</f>
        <v>600000</v>
      </c>
      <c r="D60" s="51">
        <f>(106/0.05)*10^2</f>
        <v>212000</v>
      </c>
      <c r="E60" s="46">
        <f>(4/0.05)*10^4</f>
        <v>800000</v>
      </c>
      <c r="F60" s="52">
        <v>100</v>
      </c>
      <c r="G60" s="58" t="s">
        <v>124</v>
      </c>
      <c r="H60" s="52">
        <v>200</v>
      </c>
    </row>
    <row r="61" spans="1:10" ht="14.25" customHeight="1">
      <c r="A61" s="3"/>
    </row>
    <row r="62" spans="1:10" ht="14.25" customHeight="1">
      <c r="A62" s="3"/>
      <c r="B62" s="34"/>
      <c r="C62" s="35" t="s">
        <v>51</v>
      </c>
      <c r="D62" s="35" t="s">
        <v>48</v>
      </c>
      <c r="E62" s="36" t="s">
        <v>47</v>
      </c>
      <c r="F62" s="35" t="s">
        <v>154</v>
      </c>
      <c r="G62" s="38" t="s">
        <v>121</v>
      </c>
      <c r="H62" s="39" t="s">
        <v>126</v>
      </c>
      <c r="I62" s="39" t="s">
        <v>123</v>
      </c>
      <c r="J62" s="39" t="s">
        <v>155</v>
      </c>
    </row>
    <row r="63" spans="1:10" ht="14.25" customHeight="1">
      <c r="A63" s="3"/>
      <c r="B63" s="40" t="s">
        <v>0</v>
      </c>
      <c r="C63" s="41">
        <f>(97/0.05)</f>
        <v>1940</v>
      </c>
      <c r="D63" s="42" t="s">
        <v>42</v>
      </c>
      <c r="E63" s="41">
        <f>27/0.05</f>
        <v>540</v>
      </c>
      <c r="F63" s="67">
        <f>64/0.05</f>
        <v>1280</v>
      </c>
      <c r="G63" s="42">
        <f>(36/0.025)*10^6</f>
        <v>1440000000</v>
      </c>
      <c r="H63" s="48">
        <f>(3/0.05)*10^6</f>
        <v>60000000</v>
      </c>
      <c r="I63" s="42">
        <f>(21/0.025)*10^4</f>
        <v>8400000</v>
      </c>
      <c r="J63" s="50">
        <f>(51/0.05)*10^6</f>
        <v>1020000000</v>
      </c>
    </row>
    <row r="64" spans="1:10" ht="14.25" customHeight="1">
      <c r="A64" s="3">
        <v>16</v>
      </c>
      <c r="B64" s="44" t="s">
        <v>156</v>
      </c>
      <c r="C64" s="51">
        <f>(48/0.05)*10^2</f>
        <v>96000</v>
      </c>
      <c r="D64" s="51" t="s">
        <v>42</v>
      </c>
      <c r="E64" s="46">
        <f>(9/0.05)*10^2</f>
        <v>18000</v>
      </c>
      <c r="F64" s="58">
        <f>(41/0.05)*10^2</f>
        <v>82000</v>
      </c>
      <c r="G64" s="58" t="s">
        <v>124</v>
      </c>
      <c r="H64" s="52">
        <v>700</v>
      </c>
      <c r="I64" s="52">
        <f>1500</f>
        <v>1500</v>
      </c>
      <c r="J64" s="52">
        <v>5200</v>
      </c>
    </row>
    <row r="65" spans="1:10" ht="14.25" customHeight="1">
      <c r="A65" s="3"/>
      <c r="B65" s="68"/>
      <c r="C65" s="69"/>
      <c r="D65" s="69"/>
      <c r="E65" s="69"/>
      <c r="F65" s="69"/>
      <c r="G65" s="55"/>
      <c r="H65" s="56"/>
      <c r="I65" s="56"/>
      <c r="J65" s="56"/>
    </row>
    <row r="66" spans="1:10" ht="14.25" customHeight="1">
      <c r="A66" s="3"/>
      <c r="B66" s="34"/>
      <c r="C66" s="35" t="s">
        <v>157</v>
      </c>
      <c r="D66" s="35" t="s">
        <v>52</v>
      </c>
      <c r="E66" s="39" t="s">
        <v>127</v>
      </c>
      <c r="F66" s="38" t="s">
        <v>126</v>
      </c>
    </row>
    <row r="67" spans="1:10" ht="14.25" customHeight="1">
      <c r="A67" s="3"/>
      <c r="B67" s="40" t="s">
        <v>0</v>
      </c>
      <c r="C67" s="42">
        <f>(1/0.01)*10^2</f>
        <v>10000</v>
      </c>
      <c r="D67" s="42">
        <f>(9/0.01)*10^2</f>
        <v>90000</v>
      </c>
      <c r="E67" s="50">
        <f>(51/0.05)*10^6</f>
        <v>1020000000</v>
      </c>
      <c r="F67" s="42">
        <f>(3/0.05)*10^6</f>
        <v>60000000</v>
      </c>
    </row>
    <row r="68" spans="1:10" ht="14.25" customHeight="1">
      <c r="A68" s="3">
        <v>17</v>
      </c>
      <c r="B68" s="44" t="s">
        <v>158</v>
      </c>
      <c r="C68" s="51">
        <f>(2/0.01)*10^2</f>
        <v>20000</v>
      </c>
      <c r="D68" s="51">
        <f>(22/0.01)*10^2</f>
        <v>220000</v>
      </c>
      <c r="E68" s="53">
        <v>1500</v>
      </c>
      <c r="F68" s="52">
        <v>400</v>
      </c>
    </row>
    <row r="69" spans="1:10" ht="14.25" customHeight="1">
      <c r="A69" s="3"/>
    </row>
    <row r="70" spans="1:10" ht="14.25" customHeight="1">
      <c r="A70" s="3"/>
      <c r="B70" s="34"/>
      <c r="C70" s="35" t="s">
        <v>54</v>
      </c>
      <c r="D70" s="35" t="s">
        <v>159</v>
      </c>
      <c r="E70" s="36" t="s">
        <v>55</v>
      </c>
      <c r="F70" s="38" t="s">
        <v>123</v>
      </c>
      <c r="G70" s="38" t="s">
        <v>127</v>
      </c>
      <c r="H70" s="39" t="s">
        <v>126</v>
      </c>
    </row>
    <row r="71" spans="1:10" ht="14.25" customHeight="1">
      <c r="A71" s="3"/>
      <c r="B71" s="40" t="s">
        <v>0</v>
      </c>
      <c r="C71" s="42">
        <f>(1/0.01)*10^2</f>
        <v>10000</v>
      </c>
      <c r="D71" s="42">
        <f>(2/0.01)*10^2</f>
        <v>20000</v>
      </c>
      <c r="E71" s="42">
        <f>(9/0.01)*10^2</f>
        <v>90000</v>
      </c>
      <c r="F71" s="42">
        <f>(21/0.025)*10^4</f>
        <v>8400000</v>
      </c>
      <c r="G71" s="50">
        <f>(51/0.05)*10^6</f>
        <v>1020000000</v>
      </c>
      <c r="H71" s="42">
        <f>(3/0.05)*10^6</f>
        <v>60000000</v>
      </c>
    </row>
    <row r="72" spans="1:10" ht="14.25" customHeight="1">
      <c r="A72" s="3">
        <v>18</v>
      </c>
      <c r="B72" s="44" t="s">
        <v>160</v>
      </c>
      <c r="C72" s="51">
        <f t="shared" ref="C72:D72" si="1">(3/0.01)*10^2</f>
        <v>30000</v>
      </c>
      <c r="D72" s="51">
        <f t="shared" si="1"/>
        <v>30000</v>
      </c>
      <c r="E72" s="46">
        <f>(11/0.01)*10^2</f>
        <v>110000</v>
      </c>
      <c r="F72" s="52">
        <v>200</v>
      </c>
      <c r="G72" s="52">
        <v>600</v>
      </c>
      <c r="H72" s="52">
        <v>400</v>
      </c>
    </row>
    <row r="73" spans="1:10" ht="14.25" customHeight="1">
      <c r="A73" s="3"/>
      <c r="B73" s="3"/>
      <c r="C73" s="55"/>
      <c r="D73" s="55"/>
      <c r="E73" s="55"/>
      <c r="F73" s="56"/>
      <c r="G73" s="56"/>
      <c r="H73" s="56"/>
    </row>
    <row r="74" spans="1:10" ht="14.25" customHeight="1">
      <c r="A74" s="3"/>
      <c r="B74" s="34"/>
      <c r="C74" s="35" t="s">
        <v>57</v>
      </c>
      <c r="D74" s="38" t="s">
        <v>126</v>
      </c>
      <c r="E74" s="55"/>
      <c r="F74" s="56"/>
      <c r="G74" s="56"/>
      <c r="H74" s="56"/>
    </row>
    <row r="75" spans="1:10" ht="14.25" customHeight="1">
      <c r="A75" s="3"/>
      <c r="B75" s="40" t="s">
        <v>0</v>
      </c>
      <c r="C75" s="42">
        <f>(1/0.05)*10^4</f>
        <v>200000</v>
      </c>
      <c r="D75" s="42">
        <f>(3/0.05)*10^6</f>
        <v>60000000</v>
      </c>
      <c r="E75" s="55"/>
      <c r="F75" s="56"/>
      <c r="G75" s="56"/>
      <c r="H75" s="56"/>
    </row>
    <row r="76" spans="1:10" ht="14.25" customHeight="1">
      <c r="A76" s="3">
        <v>19</v>
      </c>
      <c r="B76" s="44" t="s">
        <v>9</v>
      </c>
      <c r="C76" s="51">
        <f>(6/0.05)*10^4</f>
        <v>1200000</v>
      </c>
      <c r="D76" s="51">
        <v>14800</v>
      </c>
      <c r="E76" s="55"/>
      <c r="F76" s="56"/>
      <c r="G76" s="56"/>
      <c r="H76" s="56"/>
    </row>
    <row r="77" spans="1:10" ht="14.25" customHeight="1">
      <c r="A77" s="3"/>
      <c r="B77" s="3"/>
      <c r="C77" s="55"/>
      <c r="D77" s="55"/>
      <c r="E77" s="55"/>
      <c r="F77" s="56"/>
      <c r="G77" s="56"/>
      <c r="H77" s="56"/>
    </row>
    <row r="78" spans="1:10" ht="14.25" customHeight="1">
      <c r="A78" s="3"/>
      <c r="B78" s="34"/>
      <c r="C78" s="35" t="s">
        <v>58</v>
      </c>
      <c r="D78" s="38" t="s">
        <v>126</v>
      </c>
      <c r="E78" s="55"/>
      <c r="F78" s="56"/>
      <c r="G78" s="56"/>
      <c r="H78" s="56"/>
    </row>
    <row r="79" spans="1:10" ht="14.25" customHeight="1">
      <c r="A79" s="3"/>
      <c r="B79" s="40" t="s">
        <v>0</v>
      </c>
      <c r="C79" s="42">
        <f>(44/0.05)*10^2</f>
        <v>88000</v>
      </c>
      <c r="D79" s="42">
        <f>(3/0.05)*10^6</f>
        <v>60000000</v>
      </c>
      <c r="E79" s="55"/>
      <c r="F79" s="56"/>
      <c r="G79" s="56"/>
      <c r="H79" s="56"/>
    </row>
    <row r="80" spans="1:10" ht="14.25" customHeight="1">
      <c r="A80" s="3">
        <v>20</v>
      </c>
      <c r="B80" s="44" t="s">
        <v>10</v>
      </c>
      <c r="C80" s="51">
        <f>(18/0.05)*10^2</f>
        <v>36000</v>
      </c>
      <c r="D80" s="51">
        <v>20500</v>
      </c>
      <c r="E80" s="55"/>
      <c r="F80" s="56"/>
      <c r="G80" s="56"/>
      <c r="H80" s="56"/>
    </row>
    <row r="81" spans="1:8" ht="14.25" customHeight="1">
      <c r="A81" s="3"/>
    </row>
    <row r="82" spans="1:8" ht="14.25" customHeight="1">
      <c r="A82" s="3"/>
      <c r="B82" s="34"/>
      <c r="C82" s="35" t="s">
        <v>80</v>
      </c>
      <c r="D82" s="35" t="s">
        <v>81</v>
      </c>
      <c r="E82" s="36" t="s">
        <v>82</v>
      </c>
      <c r="F82" s="38" t="s">
        <v>126</v>
      </c>
      <c r="G82" s="38" t="s">
        <v>123</v>
      </c>
      <c r="H82" s="39" t="s">
        <v>127</v>
      </c>
    </row>
    <row r="83" spans="1:8" ht="14.25" customHeight="1">
      <c r="A83" s="3"/>
      <c r="B83" s="40" t="s">
        <v>0</v>
      </c>
      <c r="C83" s="42">
        <f>(110/0.05)*10^2</f>
        <v>220000</v>
      </c>
      <c r="D83" s="42">
        <f>(93/0.05)*10^2</f>
        <v>186000</v>
      </c>
      <c r="E83" s="42">
        <f>(46/0.05)*10^2</f>
        <v>92000</v>
      </c>
      <c r="F83" s="48">
        <f>(3/0.05)*10^6</f>
        <v>60000000</v>
      </c>
      <c r="G83" s="49">
        <f>(21/0.025)*10^4</f>
        <v>8400000</v>
      </c>
      <c r="H83" s="50">
        <f>(51/0.05)*10^6</f>
        <v>1020000000</v>
      </c>
    </row>
    <row r="84" spans="1:8" ht="14.25" customHeight="1">
      <c r="A84" s="3">
        <v>21</v>
      </c>
      <c r="B84" s="44" t="s">
        <v>161</v>
      </c>
      <c r="C84" s="51">
        <f>(39/0.05)*10^2</f>
        <v>78000</v>
      </c>
      <c r="D84" s="51">
        <f>(51/0.05)*10^2</f>
        <v>102000</v>
      </c>
      <c r="E84" s="46">
        <f>(43/0.05)*10^2</f>
        <v>86000</v>
      </c>
      <c r="F84" s="52">
        <v>200</v>
      </c>
      <c r="G84" s="59">
        <v>400</v>
      </c>
      <c r="H84" s="59">
        <v>600</v>
      </c>
    </row>
    <row r="85" spans="1:8" ht="14.25" customHeight="1">
      <c r="A85" s="3"/>
    </row>
    <row r="86" spans="1:8" ht="14.25" customHeight="1">
      <c r="A86" s="3"/>
      <c r="B86" s="34"/>
      <c r="C86" s="35" t="s">
        <v>83</v>
      </c>
      <c r="D86" s="35" t="s">
        <v>84</v>
      </c>
      <c r="E86" s="36" t="s">
        <v>85</v>
      </c>
      <c r="F86" s="38" t="s">
        <v>126</v>
      </c>
      <c r="G86" s="38" t="s">
        <v>123</v>
      </c>
      <c r="H86" s="39" t="s">
        <v>127</v>
      </c>
    </row>
    <row r="87" spans="1:8" ht="14.25" customHeight="1">
      <c r="A87" s="3"/>
      <c r="B87" s="40" t="s">
        <v>0</v>
      </c>
      <c r="C87" s="42">
        <f>(29/0.01)*10^2</f>
        <v>290000</v>
      </c>
      <c r="D87" s="42">
        <f>(9/0.01)*10^2</f>
        <v>90000</v>
      </c>
      <c r="E87" s="42">
        <f>(8/0.01)*10^2</f>
        <v>80000</v>
      </c>
      <c r="F87" s="48">
        <f>(3/0.05)*10^6</f>
        <v>60000000</v>
      </c>
      <c r="G87" s="49">
        <f>(21/0.025)*10^4</f>
        <v>8400000</v>
      </c>
      <c r="H87" s="50">
        <f>(51/0.05)*10^6</f>
        <v>1020000000</v>
      </c>
    </row>
    <row r="88" spans="1:8" ht="14.25" customHeight="1">
      <c r="A88" s="3">
        <v>22</v>
      </c>
      <c r="B88" s="44" t="s">
        <v>19</v>
      </c>
      <c r="C88" s="51">
        <f>(41/0.01)*10^2</f>
        <v>410000</v>
      </c>
      <c r="D88" s="51">
        <f>(19/0.01)*10^2</f>
        <v>190000</v>
      </c>
      <c r="E88" s="46">
        <f>(23/0.01)*10^2</f>
        <v>230000</v>
      </c>
      <c r="F88" s="52">
        <f>700</f>
        <v>700</v>
      </c>
      <c r="G88" s="59">
        <f>300</f>
        <v>300</v>
      </c>
      <c r="H88" s="59">
        <f>900</f>
        <v>900</v>
      </c>
    </row>
    <row r="89" spans="1:8" ht="14.25" customHeight="1">
      <c r="A89" s="3"/>
    </row>
    <row r="90" spans="1:8" ht="14.25" customHeight="1">
      <c r="A90" s="3"/>
      <c r="B90" s="34"/>
      <c r="C90" s="35" t="s">
        <v>86</v>
      </c>
      <c r="D90" s="35" t="s">
        <v>87</v>
      </c>
      <c r="E90" s="36" t="s">
        <v>162</v>
      </c>
      <c r="F90" s="38" t="s">
        <v>126</v>
      </c>
      <c r="G90" s="38" t="s">
        <v>123</v>
      </c>
      <c r="H90" s="39" t="s">
        <v>127</v>
      </c>
    </row>
    <row r="91" spans="1:8" ht="14.25" customHeight="1">
      <c r="A91" s="3"/>
      <c r="B91" s="40" t="s">
        <v>0</v>
      </c>
      <c r="C91" s="42">
        <f>(20/0.01)*10^2</f>
        <v>200000</v>
      </c>
      <c r="D91" s="42">
        <f>(3/0.01)*10^2</f>
        <v>30000</v>
      </c>
      <c r="E91" s="42">
        <f>(2/0.01)*10^2</f>
        <v>20000</v>
      </c>
      <c r="F91" s="48">
        <f>(3/0.05)*10^6</f>
        <v>60000000</v>
      </c>
      <c r="G91" s="49">
        <f>(21/0.025)*10^4</f>
        <v>8400000</v>
      </c>
      <c r="H91" s="50">
        <f>(51/0.05)*10^6</f>
        <v>1020000000</v>
      </c>
    </row>
    <row r="92" spans="1:8" ht="14.25" customHeight="1">
      <c r="A92" s="3">
        <v>23</v>
      </c>
      <c r="B92" s="44" t="s">
        <v>20</v>
      </c>
      <c r="C92" s="51">
        <f>(24/0.01)*10^2</f>
        <v>240000</v>
      </c>
      <c r="D92" s="51">
        <f>(18/0.01)*10^2</f>
        <v>180000</v>
      </c>
      <c r="E92" s="46">
        <f>(5/0.01)*10^2</f>
        <v>50000</v>
      </c>
      <c r="F92" s="52">
        <v>500</v>
      </c>
      <c r="G92" s="52">
        <v>900</v>
      </c>
      <c r="H92" s="59">
        <f>500</f>
        <v>500</v>
      </c>
    </row>
    <row r="93" spans="1:8" ht="14.25" customHeight="1">
      <c r="A93" s="3"/>
      <c r="B93" s="3"/>
      <c r="C93" s="55"/>
      <c r="D93" s="55"/>
      <c r="E93" s="55"/>
      <c r="F93" s="56"/>
      <c r="G93" s="56"/>
      <c r="H93" s="3"/>
    </row>
    <row r="94" spans="1:8" ht="14.25" customHeight="1">
      <c r="A94" s="3"/>
      <c r="B94" s="34"/>
      <c r="C94" s="35" t="s">
        <v>89</v>
      </c>
      <c r="D94" s="38" t="s">
        <v>126</v>
      </c>
      <c r="E94" s="55"/>
      <c r="F94" s="56"/>
      <c r="G94" s="56"/>
      <c r="H94" s="3"/>
    </row>
    <row r="95" spans="1:8" ht="14.25" customHeight="1">
      <c r="A95" s="3"/>
      <c r="B95" s="40" t="s">
        <v>0</v>
      </c>
      <c r="C95" s="42"/>
      <c r="D95" s="42">
        <f>(3/0.05)*10^6</f>
        <v>60000000</v>
      </c>
      <c r="E95" s="55"/>
      <c r="F95" s="56"/>
      <c r="G95" s="56"/>
      <c r="H95" s="3"/>
    </row>
    <row r="96" spans="1:8" ht="14.25" customHeight="1">
      <c r="A96" s="3">
        <v>24</v>
      </c>
      <c r="B96" s="44" t="s">
        <v>21</v>
      </c>
      <c r="C96" s="51"/>
      <c r="D96" s="45">
        <v>17100</v>
      </c>
    </row>
    <row r="97" spans="1:8" ht="14.25" customHeight="1">
      <c r="A97" s="3"/>
      <c r="B97" s="3"/>
      <c r="C97" s="70"/>
      <c r="D97" s="71"/>
    </row>
    <row r="98" spans="1:8" ht="14.25" customHeight="1">
      <c r="A98" s="3"/>
      <c r="B98" s="34"/>
      <c r="C98" s="35" t="s">
        <v>90</v>
      </c>
      <c r="D98" s="38" t="s">
        <v>126</v>
      </c>
    </row>
    <row r="99" spans="1:8" ht="14.25" customHeight="1">
      <c r="A99" s="3"/>
      <c r="B99" s="40" t="s">
        <v>0</v>
      </c>
      <c r="C99" s="42"/>
      <c r="D99" s="42">
        <f>(3/0.05)*10^6</f>
        <v>60000000</v>
      </c>
    </row>
    <row r="100" spans="1:8" ht="14.25" customHeight="1">
      <c r="A100" s="3">
        <v>25</v>
      </c>
      <c r="B100" s="44" t="s">
        <v>22</v>
      </c>
      <c r="C100" s="51"/>
      <c r="D100" s="45">
        <v>7000</v>
      </c>
    </row>
    <row r="101" spans="1:8" ht="14.25" customHeight="1">
      <c r="A101" s="3"/>
      <c r="B101" s="68"/>
      <c r="C101" s="69"/>
      <c r="D101" s="72"/>
    </row>
    <row r="102" spans="1:8" ht="14.25" customHeight="1">
      <c r="A102" s="3"/>
      <c r="B102" s="34"/>
      <c r="C102" s="35" t="s">
        <v>163</v>
      </c>
      <c r="D102" s="35" t="s">
        <v>104</v>
      </c>
      <c r="E102" s="36" t="s">
        <v>105</v>
      </c>
      <c r="F102" s="38" t="s">
        <v>134</v>
      </c>
      <c r="G102" s="38" t="s">
        <v>137</v>
      </c>
      <c r="H102" s="39" t="s">
        <v>126</v>
      </c>
    </row>
    <row r="103" spans="1:8" ht="14.25" customHeight="1">
      <c r="A103" s="3"/>
      <c r="B103" s="40" t="s">
        <v>0</v>
      </c>
      <c r="C103" s="41">
        <f>15/0.01</f>
        <v>1500</v>
      </c>
      <c r="D103" s="42">
        <f t="shared" ref="D103:E103" si="2">(9/0.01)*10^2</f>
        <v>90000</v>
      </c>
      <c r="E103" s="42">
        <f t="shared" si="2"/>
        <v>90000</v>
      </c>
      <c r="F103" s="49">
        <f>(9/0.025)*10^4</f>
        <v>3600000</v>
      </c>
      <c r="G103" s="49">
        <f>(5/0.025)*10^6</f>
        <v>200000000</v>
      </c>
      <c r="H103" s="48">
        <f>(3/0.05)*10^6</f>
        <v>60000000</v>
      </c>
    </row>
    <row r="104" spans="1:8" ht="14.25" customHeight="1">
      <c r="A104" s="3">
        <v>26</v>
      </c>
      <c r="B104" s="44" t="s">
        <v>164</v>
      </c>
      <c r="C104" s="45">
        <f>8/0.01</f>
        <v>800</v>
      </c>
      <c r="D104" s="51">
        <f>(16/0.01)*10^2</f>
        <v>160000</v>
      </c>
      <c r="E104" s="46">
        <f>(8/0.01)*10^2</f>
        <v>80000</v>
      </c>
      <c r="F104" s="52">
        <v>300</v>
      </c>
      <c r="G104" s="52">
        <v>400</v>
      </c>
      <c r="H104" s="59" t="s">
        <v>124</v>
      </c>
    </row>
    <row r="105" spans="1:8" ht="14.25" customHeight="1">
      <c r="A105" s="3"/>
    </row>
    <row r="106" spans="1:8" ht="14.25" customHeight="1">
      <c r="A106" s="3"/>
      <c r="B106" s="34"/>
      <c r="C106" s="35" t="s">
        <v>106</v>
      </c>
      <c r="D106" s="35" t="s">
        <v>107</v>
      </c>
      <c r="E106" s="39" t="s">
        <v>134</v>
      </c>
      <c r="F106" s="38" t="s">
        <v>137</v>
      </c>
    </row>
    <row r="107" spans="1:8" ht="14.25" customHeight="1">
      <c r="A107" s="3"/>
      <c r="B107" s="40" t="s">
        <v>0</v>
      </c>
      <c r="C107" s="41">
        <f>18/0.01</f>
        <v>1800</v>
      </c>
      <c r="D107" s="42">
        <f>(26/0.01)*10^2</f>
        <v>260000</v>
      </c>
      <c r="E107" s="42">
        <f>(9/0.025)*10^4</f>
        <v>3600000</v>
      </c>
      <c r="F107" s="49">
        <f>(5/0.025)*10^6</f>
        <v>200000000</v>
      </c>
    </row>
    <row r="108" spans="1:8" ht="14.25" customHeight="1">
      <c r="A108" s="3">
        <v>27</v>
      </c>
      <c r="B108" s="44" t="s">
        <v>27</v>
      </c>
      <c r="C108" s="45">
        <f>26/0.01</f>
        <v>2600</v>
      </c>
      <c r="D108" s="51">
        <f>(20/0.01)*10^2</f>
        <v>200000</v>
      </c>
      <c r="E108" s="53">
        <v>800</v>
      </c>
      <c r="F108" s="52">
        <v>300</v>
      </c>
    </row>
    <row r="109" spans="1:8" ht="14.25" customHeight="1">
      <c r="A109" s="73" t="s">
        <v>165</v>
      </c>
    </row>
    <row r="110" spans="1:8" ht="14.25" customHeight="1">
      <c r="A110" s="3"/>
      <c r="B110" s="34"/>
      <c r="C110" s="35" t="s">
        <v>166</v>
      </c>
      <c r="D110" s="35" t="s">
        <v>108</v>
      </c>
      <c r="E110" s="36" t="s">
        <v>110</v>
      </c>
      <c r="F110" s="38" t="s">
        <v>123</v>
      </c>
      <c r="G110" s="38" t="s">
        <v>127</v>
      </c>
      <c r="H110" s="39" t="s">
        <v>126</v>
      </c>
    </row>
    <row r="111" spans="1:8" ht="14.25" customHeight="1">
      <c r="A111" s="3"/>
      <c r="B111" s="40" t="s">
        <v>0</v>
      </c>
      <c r="C111" s="41">
        <f>60/0.01</f>
        <v>6000</v>
      </c>
      <c r="D111" s="42">
        <f>(14/0.01)*10^2</f>
        <v>140000</v>
      </c>
      <c r="E111" s="42">
        <f>(15/0.01)*10^2</f>
        <v>150000</v>
      </c>
      <c r="F111" s="49">
        <f>(21/0.025)*10^4</f>
        <v>8400000</v>
      </c>
      <c r="G111" s="50">
        <f>(51/0.05)*10^6</f>
        <v>1020000000</v>
      </c>
      <c r="H111" s="48">
        <f>(3/0.05)*10^6</f>
        <v>60000000</v>
      </c>
    </row>
    <row r="112" spans="1:8" ht="14.25" customHeight="1">
      <c r="A112" s="3">
        <v>28</v>
      </c>
      <c r="B112" s="44" t="s">
        <v>28</v>
      </c>
      <c r="C112" s="51">
        <f>117/0.01</f>
        <v>11700</v>
      </c>
      <c r="D112" s="51">
        <f>(9/0.01)*10^2</f>
        <v>90000</v>
      </c>
      <c r="E112" s="46">
        <f>(22/0.01)*10^2</f>
        <v>220000</v>
      </c>
      <c r="F112" s="52">
        <v>300</v>
      </c>
      <c r="G112" s="52">
        <v>4700</v>
      </c>
      <c r="H112" s="52">
        <v>2400</v>
      </c>
    </row>
    <row r="113" spans="1:12" ht="14.25" customHeight="1">
      <c r="A113" s="3"/>
    </row>
    <row r="114" spans="1:12" ht="14.25" customHeight="1">
      <c r="A114" s="3"/>
      <c r="B114" s="34"/>
      <c r="C114" s="35" t="s">
        <v>91</v>
      </c>
      <c r="D114" s="35" t="s">
        <v>92</v>
      </c>
      <c r="E114" s="36" t="s">
        <v>93</v>
      </c>
      <c r="F114" s="35" t="s">
        <v>94</v>
      </c>
      <c r="G114" s="35" t="s">
        <v>95</v>
      </c>
      <c r="H114" s="39" t="s">
        <v>134</v>
      </c>
      <c r="I114" s="39" t="s">
        <v>122</v>
      </c>
      <c r="J114" s="39" t="s">
        <v>123</v>
      </c>
      <c r="K114" s="39" t="s">
        <v>126</v>
      </c>
      <c r="L114" s="39" t="s">
        <v>121</v>
      </c>
    </row>
    <row r="115" spans="1:12" ht="14.25" customHeight="1">
      <c r="A115" s="3"/>
      <c r="B115" s="40" t="s">
        <v>0</v>
      </c>
      <c r="C115" s="42">
        <f>(10/0.05)*10^4</f>
        <v>2000000</v>
      </c>
      <c r="D115" s="41">
        <f>11/0.05</f>
        <v>220</v>
      </c>
      <c r="E115" s="41">
        <f>(2/0.05)*10^2</f>
        <v>4000</v>
      </c>
      <c r="F115" s="48">
        <f>(115/0.05)*10^2</f>
        <v>230000</v>
      </c>
      <c r="G115" s="67">
        <f>(3/0.05)*10^2</f>
        <v>6000</v>
      </c>
      <c r="H115" s="42">
        <f>(9/0.025)*10^4</f>
        <v>3600000</v>
      </c>
      <c r="I115" s="42">
        <f>(131/0.025)*10^6</f>
        <v>5240000000</v>
      </c>
      <c r="J115" s="49">
        <f>(21/0.025)*10^4</f>
        <v>8400000</v>
      </c>
      <c r="K115" s="48">
        <f>(3/0.05)*10^6</f>
        <v>60000000</v>
      </c>
      <c r="L115" s="42">
        <f>(36/0.025)*10^6</f>
        <v>1440000000</v>
      </c>
    </row>
    <row r="116" spans="1:12" ht="14.25" customHeight="1">
      <c r="A116" s="3">
        <v>29</v>
      </c>
      <c r="B116" s="44" t="s">
        <v>167</v>
      </c>
      <c r="C116" s="51">
        <f>(25/0.05)*10^2</f>
        <v>50000</v>
      </c>
      <c r="D116" s="45" t="s">
        <v>168</v>
      </c>
      <c r="E116" s="53">
        <f>187/0.05</f>
        <v>3740</v>
      </c>
      <c r="F116" s="58">
        <f>(66/0.05)*10^2</f>
        <v>132000</v>
      </c>
      <c r="G116" s="52">
        <f>122/0.05</f>
        <v>2440</v>
      </c>
      <c r="H116" s="44" t="s">
        <v>124</v>
      </c>
      <c r="I116" s="52">
        <v>1300</v>
      </c>
      <c r="J116" s="52">
        <v>7100</v>
      </c>
      <c r="K116" s="58" t="s">
        <v>124</v>
      </c>
      <c r="L116" s="52">
        <v>500</v>
      </c>
    </row>
    <row r="117" spans="1:12" ht="14.25" customHeight="1">
      <c r="A117" s="3"/>
      <c r="E117" s="1"/>
    </row>
    <row r="118" spans="1:12" ht="14.25" customHeight="1">
      <c r="A118" s="3"/>
      <c r="B118" s="34"/>
      <c r="C118" s="35" t="s">
        <v>96</v>
      </c>
      <c r="D118" s="35" t="s">
        <v>97</v>
      </c>
      <c r="E118" s="36" t="s">
        <v>98</v>
      </c>
      <c r="F118" s="38" t="s">
        <v>122</v>
      </c>
      <c r="G118" s="38" t="s">
        <v>123</v>
      </c>
      <c r="H118" s="39" t="s">
        <v>121</v>
      </c>
    </row>
    <row r="119" spans="1:12" ht="14.25" customHeight="1">
      <c r="A119" s="3"/>
      <c r="B119" s="40" t="s">
        <v>0</v>
      </c>
      <c r="C119" s="42">
        <f>(10/0.05)*10^4</f>
        <v>2000000</v>
      </c>
      <c r="D119" s="42">
        <f>(21/0.05)*10^2</f>
        <v>42000</v>
      </c>
      <c r="E119" s="42">
        <f>(5/0.05)*10^2</f>
        <v>10000</v>
      </c>
      <c r="F119" s="42">
        <f>(131/0.025)*10^6</f>
        <v>5240000000</v>
      </c>
      <c r="G119" s="49">
        <f>(21/0.025)*10^4</f>
        <v>8400000</v>
      </c>
      <c r="H119" s="42">
        <f>(36/0.025)*10^6</f>
        <v>1440000000</v>
      </c>
    </row>
    <row r="120" spans="1:12" ht="14.25" customHeight="1">
      <c r="A120" s="3">
        <v>30</v>
      </c>
      <c r="B120" s="44" t="s">
        <v>24</v>
      </c>
      <c r="C120" s="51">
        <f>(68/0.05)*10^2</f>
        <v>136000</v>
      </c>
      <c r="D120" s="45">
        <f>(3/0.05)*10^2</f>
        <v>6000</v>
      </c>
      <c r="E120" s="53">
        <f>(2/0.05)*10^2</f>
        <v>4000</v>
      </c>
      <c r="F120" s="52">
        <f>900</f>
        <v>900</v>
      </c>
      <c r="G120" s="52" t="s">
        <v>124</v>
      </c>
      <c r="H120" s="52">
        <v>100</v>
      </c>
    </row>
    <row r="121" spans="1:12" ht="14.25" customHeight="1">
      <c r="A121" s="3"/>
    </row>
    <row r="122" spans="1:12" ht="14.25" customHeight="1">
      <c r="A122" s="3"/>
      <c r="B122" s="34"/>
      <c r="C122" s="35" t="s">
        <v>99</v>
      </c>
      <c r="D122" s="35" t="s">
        <v>100</v>
      </c>
      <c r="E122" s="36" t="s">
        <v>101</v>
      </c>
      <c r="F122" s="35" t="s">
        <v>102</v>
      </c>
      <c r="G122" s="38" t="s">
        <v>134</v>
      </c>
      <c r="H122" s="39" t="s">
        <v>122</v>
      </c>
      <c r="I122" s="38" t="s">
        <v>123</v>
      </c>
      <c r="J122" s="39" t="s">
        <v>121</v>
      </c>
    </row>
    <row r="123" spans="1:12" ht="14.25" customHeight="1">
      <c r="A123" s="3"/>
      <c r="B123" s="40" t="s">
        <v>0</v>
      </c>
      <c r="C123" s="42">
        <f>(25/0.05)*10^4</f>
        <v>5000000</v>
      </c>
      <c r="D123" s="42">
        <f>(95/0.05)*10^2</f>
        <v>190000</v>
      </c>
      <c r="E123" s="42">
        <f>(166/0.05)*10^2</f>
        <v>332000</v>
      </c>
      <c r="F123" s="48">
        <f>(116/0.05)*10^2</f>
        <v>232000</v>
      </c>
      <c r="G123" s="49">
        <f>(9/0.025)*10^4</f>
        <v>3600000</v>
      </c>
      <c r="H123" s="42">
        <f>(131/0.025)*10^6</f>
        <v>5240000000</v>
      </c>
      <c r="I123" s="42">
        <f>(21/0.025)*10^4</f>
        <v>8400000</v>
      </c>
      <c r="J123" s="42">
        <f>(36/0.025)*10^6</f>
        <v>1440000000</v>
      </c>
    </row>
    <row r="124" spans="1:12" ht="14.25" customHeight="1">
      <c r="A124" s="3">
        <v>31</v>
      </c>
      <c r="B124" s="44" t="s">
        <v>25</v>
      </c>
      <c r="C124" s="51">
        <f>(18/0.05)*10^4</f>
        <v>3600000</v>
      </c>
      <c r="D124" s="51">
        <f>(61/0.05)*10^2</f>
        <v>122000</v>
      </c>
      <c r="E124" s="51">
        <f>(16/0.05)*10^2</f>
        <v>32000</v>
      </c>
      <c r="F124" s="58">
        <f>(2/0.05)*10^4</f>
        <v>400000</v>
      </c>
      <c r="G124" s="59" t="s">
        <v>124</v>
      </c>
      <c r="H124" s="52">
        <v>100</v>
      </c>
      <c r="I124" s="45" t="s">
        <v>124</v>
      </c>
      <c r="J124" s="53">
        <v>200</v>
      </c>
    </row>
    <row r="125" spans="1:12" ht="14.25" customHeight="1">
      <c r="A125" s="3"/>
    </row>
    <row r="126" spans="1:12" ht="14.25" customHeight="1">
      <c r="A126" s="3"/>
    </row>
    <row r="127" spans="1:12" ht="14.25" customHeight="1">
      <c r="A127" s="3"/>
      <c r="F127" s="1"/>
    </row>
    <row r="128" spans="1:12" ht="14.25" customHeight="1">
      <c r="A128" s="3"/>
    </row>
    <row r="129" spans="1:1" ht="14.25" customHeight="1">
      <c r="A129" s="3"/>
    </row>
    <row r="130" spans="1:1" ht="14.25" customHeight="1">
      <c r="A130" s="3"/>
    </row>
    <row r="131" spans="1:1" ht="14.25" customHeight="1">
      <c r="A131" s="3"/>
    </row>
    <row r="132" spans="1:1" ht="14.25" customHeight="1">
      <c r="A132" s="3"/>
    </row>
    <row r="133" spans="1:1" ht="14.25" customHeight="1">
      <c r="A133" s="3"/>
    </row>
    <row r="134" spans="1:1" ht="14.25" customHeight="1">
      <c r="A134" s="3"/>
    </row>
    <row r="135" spans="1:1" ht="14.25" customHeight="1">
      <c r="A135" s="3"/>
    </row>
    <row r="136" spans="1:1" ht="14.25" customHeight="1">
      <c r="A136" s="3"/>
    </row>
    <row r="137" spans="1:1" ht="14.25" customHeight="1">
      <c r="A137" s="3"/>
    </row>
    <row r="138" spans="1:1" ht="14.25" customHeight="1">
      <c r="A138" s="3"/>
    </row>
    <row r="139" spans="1:1" ht="14.25" customHeight="1">
      <c r="A139" s="3"/>
    </row>
    <row r="140" spans="1:1" ht="14.25" customHeight="1">
      <c r="A140" s="3"/>
    </row>
    <row r="141" spans="1:1" ht="14.25" customHeight="1">
      <c r="A141" s="3"/>
    </row>
    <row r="142" spans="1:1" ht="14.25" customHeight="1">
      <c r="A142" s="3"/>
    </row>
    <row r="143" spans="1:1" ht="14.25" customHeight="1">
      <c r="A143" s="3"/>
    </row>
    <row r="144" spans="1:1" ht="14.25" customHeight="1">
      <c r="A144" s="3"/>
    </row>
    <row r="145" spans="1:1" ht="14.25" customHeight="1">
      <c r="A145" s="3"/>
    </row>
    <row r="146" spans="1:1" ht="14.25" customHeight="1">
      <c r="A146" s="3"/>
    </row>
    <row r="147" spans="1:1" ht="14.25" customHeight="1">
      <c r="A147" s="3"/>
    </row>
    <row r="148" spans="1:1" ht="14.25" customHeight="1">
      <c r="A148" s="3"/>
    </row>
    <row r="149" spans="1:1" ht="14.25" customHeight="1">
      <c r="A149" s="3"/>
    </row>
    <row r="150" spans="1:1" ht="14.25" customHeight="1">
      <c r="A150" s="3"/>
    </row>
    <row r="151" spans="1:1" ht="14.25" customHeight="1">
      <c r="A151" s="3"/>
    </row>
    <row r="152" spans="1:1" ht="14.25" customHeight="1">
      <c r="A152" s="3"/>
    </row>
    <row r="153" spans="1:1" ht="14.25" customHeight="1">
      <c r="A153" s="3"/>
    </row>
    <row r="154" spans="1:1" ht="14.25" customHeight="1">
      <c r="A154" s="3"/>
    </row>
    <row r="155" spans="1:1" ht="14.25" customHeight="1">
      <c r="A155" s="3"/>
    </row>
    <row r="156" spans="1:1" ht="14.25" customHeight="1">
      <c r="A156" s="3"/>
    </row>
    <row r="157" spans="1:1" ht="14.25" customHeight="1">
      <c r="A157" s="3"/>
    </row>
    <row r="158" spans="1:1" ht="14.25" customHeight="1">
      <c r="A158" s="3"/>
    </row>
    <row r="159" spans="1:1" ht="14.25" customHeight="1">
      <c r="A159" s="3"/>
    </row>
    <row r="160" spans="1:1" ht="14.25" customHeight="1">
      <c r="A160" s="3"/>
    </row>
    <row r="161" spans="1:1" ht="14.25" customHeight="1">
      <c r="A161" s="3"/>
    </row>
    <row r="162" spans="1:1" ht="14.25" customHeight="1">
      <c r="A162" s="3"/>
    </row>
    <row r="163" spans="1:1" ht="14.25" customHeight="1">
      <c r="A163" s="3"/>
    </row>
    <row r="164" spans="1:1" ht="14.25" customHeight="1">
      <c r="A164" s="3"/>
    </row>
    <row r="165" spans="1:1" ht="14.25" customHeight="1">
      <c r="A165" s="3"/>
    </row>
    <row r="166" spans="1:1" ht="14.25" customHeight="1">
      <c r="A166" s="3"/>
    </row>
    <row r="167" spans="1:1" ht="14.25" customHeight="1">
      <c r="A167" s="3"/>
    </row>
    <row r="168" spans="1:1" ht="14.25" customHeight="1">
      <c r="A168" s="3"/>
    </row>
    <row r="169" spans="1:1" ht="14.25" customHeight="1">
      <c r="A169" s="3"/>
    </row>
    <row r="170" spans="1:1" ht="14.25" customHeight="1">
      <c r="A170" s="3"/>
    </row>
    <row r="171" spans="1:1" ht="14.25" customHeight="1">
      <c r="A171" s="3"/>
    </row>
    <row r="172" spans="1:1" ht="14.25" customHeight="1">
      <c r="A172" s="3"/>
    </row>
    <row r="173" spans="1:1" ht="14.25" customHeight="1">
      <c r="A173" s="3"/>
    </row>
    <row r="174" spans="1:1" ht="14.25" customHeight="1">
      <c r="A174" s="3"/>
    </row>
    <row r="175" spans="1:1" ht="14.25" customHeight="1">
      <c r="A175" s="3"/>
    </row>
    <row r="176" spans="1:1" ht="14.25" customHeight="1">
      <c r="A176" s="3"/>
    </row>
    <row r="177" spans="1:1" ht="14.25" customHeight="1">
      <c r="A177" s="3"/>
    </row>
    <row r="178" spans="1:1" ht="14.25" customHeight="1">
      <c r="A178" s="3"/>
    </row>
    <row r="179" spans="1:1" ht="14.25" customHeight="1">
      <c r="A179" s="3"/>
    </row>
    <row r="180" spans="1:1" ht="14.25" customHeight="1">
      <c r="A180" s="3"/>
    </row>
    <row r="181" spans="1:1" ht="14.25" customHeight="1">
      <c r="A181" s="3"/>
    </row>
    <row r="182" spans="1:1" ht="14.25" customHeight="1">
      <c r="A182" s="3"/>
    </row>
    <row r="183" spans="1:1" ht="14.25" customHeight="1">
      <c r="A183" s="3"/>
    </row>
    <row r="184" spans="1:1" ht="14.25" customHeight="1">
      <c r="A184" s="3"/>
    </row>
    <row r="185" spans="1:1" ht="14.25" customHeight="1">
      <c r="A185" s="3"/>
    </row>
    <row r="186" spans="1:1" ht="14.25" customHeight="1">
      <c r="A186" s="3"/>
    </row>
    <row r="187" spans="1:1" ht="14.25" customHeight="1">
      <c r="A187" s="3"/>
    </row>
    <row r="188" spans="1:1" ht="14.25" customHeight="1">
      <c r="A188" s="3"/>
    </row>
    <row r="189" spans="1:1" ht="14.25" customHeight="1">
      <c r="A189" s="3"/>
    </row>
    <row r="190" spans="1:1" ht="14.25" customHeight="1">
      <c r="A190" s="3"/>
    </row>
    <row r="191" spans="1:1" ht="14.25" customHeight="1">
      <c r="A191" s="3"/>
    </row>
    <row r="192" spans="1:1" ht="14.25" customHeight="1">
      <c r="A192" s="3"/>
    </row>
    <row r="193" spans="1:1" ht="14.25" customHeight="1">
      <c r="A193" s="3"/>
    </row>
    <row r="194" spans="1:1" ht="14.25" customHeight="1">
      <c r="A194" s="3"/>
    </row>
    <row r="195" spans="1:1" ht="14.25" customHeight="1">
      <c r="A195" s="3"/>
    </row>
    <row r="196" spans="1:1" ht="14.25" customHeight="1">
      <c r="A196" s="3"/>
    </row>
    <row r="197" spans="1:1" ht="14.25" customHeight="1">
      <c r="A197" s="3"/>
    </row>
    <row r="198" spans="1:1" ht="14.25" customHeight="1">
      <c r="A198" s="3"/>
    </row>
    <row r="199" spans="1:1" ht="14.25" customHeight="1">
      <c r="A199" s="3"/>
    </row>
    <row r="200" spans="1:1" ht="14.25" customHeight="1">
      <c r="A200" s="3"/>
    </row>
    <row r="201" spans="1:1" ht="14.25" customHeight="1">
      <c r="A201" s="3"/>
    </row>
    <row r="202" spans="1:1" ht="14.25" customHeight="1">
      <c r="A202" s="3"/>
    </row>
    <row r="203" spans="1:1" ht="14.25" customHeight="1">
      <c r="A203" s="3"/>
    </row>
    <row r="204" spans="1:1" ht="14.25" customHeight="1">
      <c r="A204" s="3"/>
    </row>
    <row r="205" spans="1:1" ht="14.25" customHeight="1">
      <c r="A205" s="3"/>
    </row>
    <row r="206" spans="1:1" ht="14.25" customHeight="1">
      <c r="A206" s="3"/>
    </row>
    <row r="207" spans="1:1" ht="14.25" customHeight="1">
      <c r="A207" s="3"/>
    </row>
    <row r="208" spans="1:1" ht="14.25" customHeight="1">
      <c r="A208" s="3"/>
    </row>
    <row r="209" spans="1:1" ht="14.25" customHeight="1">
      <c r="A209" s="3"/>
    </row>
    <row r="210" spans="1:1" ht="14.25" customHeight="1">
      <c r="A210" s="3"/>
    </row>
    <row r="211" spans="1:1" ht="14.25" customHeight="1">
      <c r="A211" s="3"/>
    </row>
    <row r="212" spans="1:1" ht="14.25" customHeight="1">
      <c r="A212" s="3"/>
    </row>
    <row r="213" spans="1:1" ht="14.25" customHeight="1">
      <c r="A213" s="3"/>
    </row>
    <row r="214" spans="1:1" ht="14.25" customHeight="1">
      <c r="A214" s="3"/>
    </row>
    <row r="215" spans="1:1" ht="14.25" customHeight="1">
      <c r="A215" s="3"/>
    </row>
    <row r="216" spans="1:1" ht="14.25" customHeight="1">
      <c r="A216" s="3"/>
    </row>
    <row r="217" spans="1:1" ht="14.25" customHeight="1">
      <c r="A217" s="3"/>
    </row>
    <row r="218" spans="1:1" ht="14.25" customHeight="1">
      <c r="A218" s="3"/>
    </row>
    <row r="219" spans="1:1" ht="14.25" customHeight="1">
      <c r="A219" s="3"/>
    </row>
    <row r="220" spans="1:1" ht="14.25" customHeight="1">
      <c r="A220" s="3"/>
    </row>
    <row r="221" spans="1:1" ht="14.25" customHeight="1">
      <c r="A221" s="3"/>
    </row>
    <row r="222" spans="1:1" ht="14.25" customHeight="1">
      <c r="A222" s="3"/>
    </row>
    <row r="223" spans="1:1" ht="14.25" customHeight="1">
      <c r="A223" s="3"/>
    </row>
    <row r="224" spans="1:1" ht="14.25" customHeight="1">
      <c r="A224" s="3"/>
    </row>
    <row r="225" spans="1:1" ht="14.25" customHeight="1">
      <c r="A225" s="3"/>
    </row>
    <row r="226" spans="1:1" ht="14.25" customHeight="1">
      <c r="A226" s="3"/>
    </row>
    <row r="227" spans="1:1" ht="14.25" customHeight="1">
      <c r="A227" s="3"/>
    </row>
    <row r="228" spans="1:1" ht="14.25" customHeight="1">
      <c r="A228" s="3"/>
    </row>
    <row r="229" spans="1:1" ht="14.25" customHeight="1">
      <c r="A229" s="3"/>
    </row>
    <row r="230" spans="1:1" ht="14.25" customHeight="1">
      <c r="A230" s="3"/>
    </row>
    <row r="231" spans="1:1" ht="14.25" customHeight="1">
      <c r="A231" s="3"/>
    </row>
    <row r="232" spans="1:1" ht="14.25" customHeight="1">
      <c r="A232" s="3"/>
    </row>
    <row r="233" spans="1:1" ht="14.25" customHeight="1">
      <c r="A233" s="3"/>
    </row>
    <row r="234" spans="1:1" ht="14.25" customHeight="1">
      <c r="A234" s="3"/>
    </row>
    <row r="235" spans="1:1" ht="14.25" customHeight="1">
      <c r="A235" s="3"/>
    </row>
    <row r="236" spans="1:1" ht="14.25" customHeight="1">
      <c r="A236" s="3"/>
    </row>
    <row r="237" spans="1:1" ht="14.25" customHeight="1">
      <c r="A237" s="3"/>
    </row>
    <row r="238" spans="1:1" ht="14.25" customHeight="1">
      <c r="A238" s="3"/>
    </row>
    <row r="239" spans="1:1" ht="14.25" customHeight="1">
      <c r="A239" s="3"/>
    </row>
    <row r="240" spans="1:1" ht="14.25" customHeight="1">
      <c r="A240" s="3"/>
    </row>
    <row r="241" spans="1:1" ht="14.25" customHeight="1">
      <c r="A241" s="3"/>
    </row>
    <row r="242" spans="1:1" ht="14.25" customHeight="1">
      <c r="A242" s="3"/>
    </row>
    <row r="243" spans="1:1" ht="14.25" customHeight="1">
      <c r="A243" s="3"/>
    </row>
    <row r="244" spans="1:1" ht="14.25" customHeight="1">
      <c r="A244" s="3"/>
    </row>
    <row r="245" spans="1:1" ht="14.25" customHeight="1">
      <c r="A245" s="3"/>
    </row>
    <row r="246" spans="1:1" ht="14.25" customHeight="1">
      <c r="A246" s="3"/>
    </row>
    <row r="247" spans="1:1" ht="14.25" customHeight="1">
      <c r="A247" s="3"/>
    </row>
    <row r="248" spans="1:1" ht="14.25" customHeight="1">
      <c r="A248" s="3"/>
    </row>
    <row r="249" spans="1:1" ht="14.25" customHeight="1">
      <c r="A249" s="3"/>
    </row>
    <row r="250" spans="1:1" ht="14.25" customHeight="1">
      <c r="A250" s="3"/>
    </row>
    <row r="251" spans="1:1" ht="14.25" customHeight="1">
      <c r="A251" s="3"/>
    </row>
    <row r="252" spans="1:1" ht="14.25" customHeight="1">
      <c r="A252" s="3"/>
    </row>
    <row r="253" spans="1:1" ht="14.25" customHeight="1">
      <c r="A253" s="3"/>
    </row>
    <row r="254" spans="1:1" ht="14.25" customHeight="1">
      <c r="A254" s="3"/>
    </row>
    <row r="255" spans="1:1" ht="14.25" customHeight="1">
      <c r="A255" s="3"/>
    </row>
    <row r="256" spans="1:1" ht="14.25" customHeight="1">
      <c r="A256" s="3"/>
    </row>
    <row r="257" spans="1:1" ht="14.25" customHeight="1">
      <c r="A257" s="3"/>
    </row>
    <row r="258" spans="1:1" ht="14.25" customHeight="1">
      <c r="A258" s="3"/>
    </row>
    <row r="259" spans="1:1" ht="14.25" customHeight="1">
      <c r="A259" s="3"/>
    </row>
    <row r="260" spans="1:1" ht="14.25" customHeight="1">
      <c r="A260" s="3"/>
    </row>
    <row r="261" spans="1:1" ht="14.25" customHeight="1">
      <c r="A261" s="3"/>
    </row>
    <row r="262" spans="1:1" ht="14.25" customHeight="1">
      <c r="A262" s="3"/>
    </row>
    <row r="263" spans="1:1" ht="14.25" customHeight="1">
      <c r="A263" s="3"/>
    </row>
    <row r="264" spans="1:1" ht="14.25" customHeight="1">
      <c r="A264" s="3"/>
    </row>
    <row r="265" spans="1:1" ht="14.25" customHeight="1">
      <c r="A265" s="3"/>
    </row>
    <row r="266" spans="1:1" ht="14.25" customHeight="1">
      <c r="A266" s="3"/>
    </row>
    <row r="267" spans="1:1" ht="14.25" customHeight="1">
      <c r="A267" s="3"/>
    </row>
    <row r="268" spans="1:1" ht="14.25" customHeight="1">
      <c r="A268" s="3"/>
    </row>
    <row r="269" spans="1:1" ht="14.25" customHeight="1">
      <c r="A269" s="3"/>
    </row>
    <row r="270" spans="1:1" ht="14.25" customHeight="1">
      <c r="A270" s="3"/>
    </row>
    <row r="271" spans="1:1" ht="14.25" customHeight="1">
      <c r="A271" s="3"/>
    </row>
    <row r="272" spans="1:1" ht="14.25" customHeight="1">
      <c r="A272" s="3"/>
    </row>
    <row r="273" spans="1:1" ht="14.25" customHeight="1">
      <c r="A273" s="3"/>
    </row>
    <row r="274" spans="1:1" ht="14.25" customHeight="1">
      <c r="A274" s="3"/>
    </row>
    <row r="275" spans="1:1" ht="14.25" customHeight="1">
      <c r="A275" s="3"/>
    </row>
    <row r="276" spans="1:1" ht="14.25" customHeight="1">
      <c r="A276" s="3"/>
    </row>
    <row r="277" spans="1:1" ht="14.25" customHeight="1">
      <c r="A277" s="3"/>
    </row>
    <row r="278" spans="1:1" ht="14.25" customHeight="1">
      <c r="A278" s="3"/>
    </row>
    <row r="279" spans="1:1" ht="14.25" customHeight="1">
      <c r="A279" s="3"/>
    </row>
    <row r="280" spans="1:1" ht="14.25" customHeight="1">
      <c r="A280" s="3"/>
    </row>
    <row r="281" spans="1:1" ht="14.25" customHeight="1">
      <c r="A281" s="3"/>
    </row>
    <row r="282" spans="1:1" ht="14.25" customHeight="1">
      <c r="A282" s="3"/>
    </row>
    <row r="283" spans="1:1" ht="14.25" customHeight="1">
      <c r="A283" s="3"/>
    </row>
    <row r="284" spans="1:1" ht="14.25" customHeight="1">
      <c r="A284" s="3"/>
    </row>
    <row r="285" spans="1:1" ht="14.25" customHeight="1">
      <c r="A285" s="3"/>
    </row>
    <row r="286" spans="1:1" ht="14.25" customHeight="1">
      <c r="A286" s="3"/>
    </row>
    <row r="287" spans="1:1" ht="14.25" customHeight="1">
      <c r="A287" s="3"/>
    </row>
    <row r="288" spans="1:1" ht="14.25" customHeight="1">
      <c r="A288" s="3"/>
    </row>
    <row r="289" spans="1:1" ht="14.25" customHeight="1">
      <c r="A289" s="3"/>
    </row>
    <row r="290" spans="1:1" ht="14.25" customHeight="1">
      <c r="A290" s="3"/>
    </row>
    <row r="291" spans="1:1" ht="14.25" customHeight="1">
      <c r="A291" s="3"/>
    </row>
    <row r="292" spans="1:1" ht="14.25" customHeight="1">
      <c r="A292" s="3"/>
    </row>
    <row r="293" spans="1:1" ht="14.25" customHeight="1">
      <c r="A293" s="3"/>
    </row>
    <row r="294" spans="1:1" ht="14.25" customHeight="1">
      <c r="A294" s="3"/>
    </row>
    <row r="295" spans="1:1" ht="14.25" customHeight="1">
      <c r="A295" s="3"/>
    </row>
    <row r="296" spans="1:1" ht="14.25" customHeight="1">
      <c r="A296" s="3"/>
    </row>
    <row r="297" spans="1:1" ht="14.25" customHeight="1">
      <c r="A297" s="3"/>
    </row>
    <row r="298" spans="1:1" ht="14.25" customHeight="1">
      <c r="A298" s="3"/>
    </row>
    <row r="299" spans="1:1" ht="14.25" customHeight="1">
      <c r="A299" s="3"/>
    </row>
    <row r="300" spans="1:1" ht="14.25" customHeight="1">
      <c r="A300" s="3"/>
    </row>
    <row r="301" spans="1:1" ht="14.25" customHeight="1">
      <c r="A301" s="3"/>
    </row>
    <row r="302" spans="1:1" ht="14.25" customHeight="1">
      <c r="A302" s="3"/>
    </row>
    <row r="303" spans="1:1" ht="14.25" customHeight="1">
      <c r="A303" s="3"/>
    </row>
    <row r="304" spans="1:1" ht="14.25" customHeight="1">
      <c r="A304" s="3"/>
    </row>
    <row r="305" spans="1:1" ht="14.25" customHeight="1">
      <c r="A305" s="3"/>
    </row>
    <row r="306" spans="1:1" ht="14.25" customHeight="1">
      <c r="A306" s="3"/>
    </row>
    <row r="307" spans="1:1" ht="14.25" customHeight="1">
      <c r="A307" s="3"/>
    </row>
    <row r="308" spans="1:1" ht="14.25" customHeight="1">
      <c r="A308" s="3"/>
    </row>
    <row r="309" spans="1:1" ht="14.25" customHeight="1">
      <c r="A309" s="3"/>
    </row>
    <row r="310" spans="1:1" ht="14.25" customHeight="1">
      <c r="A310" s="3"/>
    </row>
    <row r="311" spans="1:1" ht="14.25" customHeight="1">
      <c r="A311" s="3"/>
    </row>
    <row r="312" spans="1:1" ht="14.25" customHeight="1">
      <c r="A312" s="3"/>
    </row>
    <row r="313" spans="1:1" ht="14.25" customHeight="1">
      <c r="A313" s="3"/>
    </row>
    <row r="314" spans="1:1" ht="14.25" customHeight="1">
      <c r="A314" s="3"/>
    </row>
    <row r="315" spans="1:1" ht="14.25" customHeight="1">
      <c r="A315" s="3"/>
    </row>
    <row r="316" spans="1:1" ht="14.25" customHeight="1">
      <c r="A316" s="3"/>
    </row>
    <row r="317" spans="1:1" ht="14.25" customHeight="1">
      <c r="A317" s="3"/>
    </row>
    <row r="318" spans="1:1" ht="14.25" customHeight="1">
      <c r="A318" s="3"/>
    </row>
    <row r="319" spans="1:1" ht="14.25" customHeight="1">
      <c r="A319" s="3"/>
    </row>
    <row r="320" spans="1:1" ht="14.25" customHeight="1">
      <c r="A320" s="3"/>
    </row>
    <row r="321" spans="1:1" ht="14.25" customHeight="1">
      <c r="A321" s="3"/>
    </row>
    <row r="322" spans="1:1" ht="14.25" customHeight="1">
      <c r="A322" s="3"/>
    </row>
    <row r="323" spans="1:1" ht="14.25" customHeight="1">
      <c r="A323" s="3"/>
    </row>
    <row r="324" spans="1:1" ht="14.25" customHeight="1">
      <c r="A324" s="3"/>
    </row>
    <row r="325" spans="1:1" ht="14.25" customHeight="1">
      <c r="A325" s="3"/>
    </row>
    <row r="326" spans="1:1" ht="14.25" customHeight="1">
      <c r="A326" s="3"/>
    </row>
    <row r="327" spans="1:1" ht="14.25" customHeight="1">
      <c r="A327" s="3"/>
    </row>
    <row r="328" spans="1:1" ht="14.25" customHeight="1">
      <c r="A328" s="3"/>
    </row>
    <row r="329" spans="1:1" ht="14.25" customHeight="1">
      <c r="A329" s="3"/>
    </row>
    <row r="330" spans="1:1" ht="14.25" customHeight="1">
      <c r="A330" s="3"/>
    </row>
    <row r="331" spans="1:1" ht="14.25" customHeight="1">
      <c r="A331" s="3"/>
    </row>
    <row r="332" spans="1:1" ht="14.25" customHeight="1">
      <c r="A332" s="3"/>
    </row>
    <row r="333" spans="1:1" ht="14.25" customHeight="1">
      <c r="A333" s="3"/>
    </row>
    <row r="334" spans="1:1" ht="14.25" customHeight="1">
      <c r="A334" s="3"/>
    </row>
    <row r="335" spans="1:1" ht="14.25" customHeight="1">
      <c r="A335" s="3"/>
    </row>
    <row r="336" spans="1:1" ht="14.25" customHeight="1">
      <c r="A336" s="3"/>
    </row>
    <row r="337" spans="1:1" ht="14.25" customHeight="1">
      <c r="A337" s="3"/>
    </row>
    <row r="338" spans="1:1" ht="14.25" customHeight="1">
      <c r="A338" s="3"/>
    </row>
    <row r="339" spans="1:1" ht="14.25" customHeight="1">
      <c r="A339" s="3"/>
    </row>
    <row r="340" spans="1:1" ht="14.25" customHeight="1">
      <c r="A340" s="3"/>
    </row>
    <row r="341" spans="1:1" ht="14.25" customHeight="1">
      <c r="A341" s="3"/>
    </row>
    <row r="342" spans="1:1" ht="14.25" customHeight="1">
      <c r="A342" s="3"/>
    </row>
    <row r="343" spans="1:1" ht="14.25" customHeight="1">
      <c r="A343" s="3"/>
    </row>
    <row r="344" spans="1:1" ht="14.25" customHeight="1">
      <c r="A344" s="3"/>
    </row>
    <row r="345" spans="1:1" ht="14.25" customHeight="1">
      <c r="A345" s="3"/>
    </row>
    <row r="346" spans="1:1" ht="14.25" customHeight="1">
      <c r="A346" s="3"/>
    </row>
    <row r="347" spans="1:1" ht="14.25" customHeight="1">
      <c r="A347" s="3"/>
    </row>
    <row r="348" spans="1:1" ht="14.25" customHeight="1">
      <c r="A348" s="3"/>
    </row>
    <row r="349" spans="1:1" ht="14.25" customHeight="1">
      <c r="A349" s="3"/>
    </row>
    <row r="350" spans="1:1" ht="14.25" customHeight="1">
      <c r="A350" s="3"/>
    </row>
    <row r="351" spans="1:1" ht="14.25" customHeight="1">
      <c r="A351" s="3"/>
    </row>
    <row r="352" spans="1:1" ht="14.25" customHeight="1">
      <c r="A352" s="3"/>
    </row>
    <row r="353" spans="1:1" ht="14.25" customHeight="1">
      <c r="A353" s="3"/>
    </row>
    <row r="354" spans="1:1" ht="14.25" customHeight="1">
      <c r="A354" s="3"/>
    </row>
    <row r="355" spans="1:1" ht="14.25" customHeight="1">
      <c r="A355" s="3"/>
    </row>
    <row r="356" spans="1:1" ht="14.25" customHeight="1">
      <c r="A356" s="3"/>
    </row>
    <row r="357" spans="1:1" ht="14.25" customHeight="1">
      <c r="A357" s="3"/>
    </row>
    <row r="358" spans="1:1" ht="14.25" customHeight="1">
      <c r="A358" s="3"/>
    </row>
    <row r="359" spans="1:1" ht="14.25" customHeight="1">
      <c r="A359" s="3"/>
    </row>
    <row r="360" spans="1:1" ht="14.25" customHeight="1">
      <c r="A360" s="3"/>
    </row>
    <row r="361" spans="1:1" ht="14.25" customHeight="1">
      <c r="A361" s="3"/>
    </row>
    <row r="362" spans="1:1" ht="14.25" customHeight="1">
      <c r="A362" s="3"/>
    </row>
    <row r="363" spans="1:1" ht="14.25" customHeight="1">
      <c r="A363" s="3"/>
    </row>
    <row r="364" spans="1:1" ht="14.25" customHeight="1">
      <c r="A364" s="3"/>
    </row>
    <row r="365" spans="1:1" ht="14.25" customHeight="1">
      <c r="A365" s="3"/>
    </row>
    <row r="366" spans="1:1" ht="14.25" customHeight="1">
      <c r="A366" s="3"/>
    </row>
    <row r="367" spans="1:1" ht="14.25" customHeight="1">
      <c r="A367" s="3"/>
    </row>
    <row r="368" spans="1:1" ht="14.25" customHeight="1">
      <c r="A368" s="3"/>
    </row>
    <row r="369" spans="1:1" ht="14.25" customHeight="1">
      <c r="A369" s="3"/>
    </row>
    <row r="370" spans="1:1" ht="14.25" customHeight="1">
      <c r="A370" s="3"/>
    </row>
    <row r="371" spans="1:1" ht="14.25" customHeight="1">
      <c r="A371" s="3"/>
    </row>
    <row r="372" spans="1:1" ht="14.25" customHeight="1">
      <c r="A372" s="3"/>
    </row>
    <row r="373" spans="1:1" ht="14.25" customHeight="1">
      <c r="A373" s="3"/>
    </row>
    <row r="374" spans="1:1" ht="14.25" customHeight="1">
      <c r="A374" s="3"/>
    </row>
    <row r="375" spans="1:1" ht="14.25" customHeight="1">
      <c r="A375" s="3"/>
    </row>
    <row r="376" spans="1:1" ht="14.25" customHeight="1">
      <c r="A376" s="3"/>
    </row>
    <row r="377" spans="1:1" ht="14.25" customHeight="1">
      <c r="A377" s="3"/>
    </row>
    <row r="378" spans="1:1" ht="14.25" customHeight="1">
      <c r="A378" s="3"/>
    </row>
    <row r="379" spans="1:1" ht="14.25" customHeight="1">
      <c r="A379" s="3"/>
    </row>
    <row r="380" spans="1:1" ht="14.25" customHeight="1">
      <c r="A380" s="3"/>
    </row>
    <row r="381" spans="1:1" ht="14.25" customHeight="1">
      <c r="A381" s="3"/>
    </row>
    <row r="382" spans="1:1" ht="14.25" customHeight="1">
      <c r="A382" s="3"/>
    </row>
    <row r="383" spans="1:1" ht="14.25" customHeight="1">
      <c r="A383" s="3"/>
    </row>
    <row r="384" spans="1:1" ht="14.25" customHeight="1">
      <c r="A384" s="3"/>
    </row>
    <row r="385" spans="1:1" ht="14.25" customHeight="1">
      <c r="A385" s="3"/>
    </row>
    <row r="386" spans="1:1" ht="14.25" customHeight="1">
      <c r="A386" s="3"/>
    </row>
    <row r="387" spans="1:1" ht="14.25" customHeight="1">
      <c r="A387" s="3"/>
    </row>
    <row r="388" spans="1:1" ht="14.25" customHeight="1">
      <c r="A388" s="3"/>
    </row>
    <row r="389" spans="1:1" ht="14.25" customHeight="1">
      <c r="A389" s="3"/>
    </row>
    <row r="390" spans="1:1" ht="14.25" customHeight="1">
      <c r="A390" s="3"/>
    </row>
    <row r="391" spans="1:1" ht="14.25" customHeight="1">
      <c r="A391" s="3"/>
    </row>
    <row r="392" spans="1:1" ht="14.25" customHeight="1">
      <c r="A392" s="3"/>
    </row>
    <row r="393" spans="1:1" ht="14.25" customHeight="1">
      <c r="A393" s="3"/>
    </row>
    <row r="394" spans="1:1" ht="14.25" customHeight="1">
      <c r="A394" s="3"/>
    </row>
    <row r="395" spans="1:1" ht="14.25" customHeight="1">
      <c r="A395" s="3"/>
    </row>
    <row r="396" spans="1:1" ht="14.25" customHeight="1">
      <c r="A396" s="3"/>
    </row>
    <row r="397" spans="1:1" ht="14.25" customHeight="1">
      <c r="A397" s="3"/>
    </row>
    <row r="398" spans="1:1" ht="14.25" customHeight="1">
      <c r="A398" s="3"/>
    </row>
    <row r="399" spans="1:1" ht="14.25" customHeight="1">
      <c r="A399" s="3"/>
    </row>
    <row r="400" spans="1:1" ht="14.25" customHeight="1">
      <c r="A400" s="3"/>
    </row>
    <row r="401" spans="1:1" ht="14.25" customHeight="1">
      <c r="A401" s="3"/>
    </row>
    <row r="402" spans="1:1" ht="14.25" customHeight="1">
      <c r="A402" s="3"/>
    </row>
    <row r="403" spans="1:1" ht="14.25" customHeight="1">
      <c r="A403" s="3"/>
    </row>
    <row r="404" spans="1:1" ht="14.25" customHeight="1">
      <c r="A404" s="3"/>
    </row>
    <row r="405" spans="1:1" ht="14.25" customHeight="1">
      <c r="A405" s="3"/>
    </row>
    <row r="406" spans="1:1" ht="14.25" customHeight="1">
      <c r="A406" s="3"/>
    </row>
    <row r="407" spans="1:1" ht="14.25" customHeight="1">
      <c r="A407" s="3"/>
    </row>
    <row r="408" spans="1:1" ht="14.25" customHeight="1">
      <c r="A408" s="3"/>
    </row>
    <row r="409" spans="1:1" ht="14.25" customHeight="1">
      <c r="A409" s="3"/>
    </row>
    <row r="410" spans="1:1" ht="14.25" customHeight="1">
      <c r="A410" s="3"/>
    </row>
    <row r="411" spans="1:1" ht="14.25" customHeight="1">
      <c r="A411" s="3"/>
    </row>
    <row r="412" spans="1:1" ht="14.25" customHeight="1">
      <c r="A412" s="3"/>
    </row>
    <row r="413" spans="1:1" ht="14.25" customHeight="1">
      <c r="A413" s="3"/>
    </row>
    <row r="414" spans="1:1" ht="14.25" customHeight="1">
      <c r="A414" s="3"/>
    </row>
    <row r="415" spans="1:1" ht="14.25" customHeight="1">
      <c r="A415" s="3"/>
    </row>
    <row r="416" spans="1:1" ht="14.25" customHeight="1">
      <c r="A416" s="3"/>
    </row>
    <row r="417" spans="1:1" ht="14.25" customHeight="1">
      <c r="A417" s="3"/>
    </row>
    <row r="418" spans="1:1" ht="14.25" customHeight="1">
      <c r="A418" s="3"/>
    </row>
    <row r="419" spans="1:1" ht="14.25" customHeight="1">
      <c r="A419" s="3"/>
    </row>
    <row r="420" spans="1:1" ht="14.25" customHeight="1">
      <c r="A420" s="3"/>
    </row>
    <row r="421" spans="1:1" ht="14.25" customHeight="1">
      <c r="A421" s="3"/>
    </row>
    <row r="422" spans="1:1" ht="14.25" customHeight="1">
      <c r="A422" s="3"/>
    </row>
    <row r="423" spans="1:1" ht="14.25" customHeight="1">
      <c r="A423" s="3"/>
    </row>
    <row r="424" spans="1:1" ht="14.25" customHeight="1">
      <c r="A424" s="3"/>
    </row>
    <row r="425" spans="1:1" ht="14.25" customHeight="1">
      <c r="A425" s="3"/>
    </row>
    <row r="426" spans="1:1" ht="14.25" customHeight="1">
      <c r="A426" s="3"/>
    </row>
    <row r="427" spans="1:1" ht="14.25" customHeight="1">
      <c r="A427" s="3"/>
    </row>
    <row r="428" spans="1:1" ht="14.25" customHeight="1">
      <c r="A428" s="3"/>
    </row>
    <row r="429" spans="1:1" ht="14.25" customHeight="1">
      <c r="A429" s="3"/>
    </row>
    <row r="430" spans="1:1" ht="14.25" customHeight="1">
      <c r="A430" s="3"/>
    </row>
    <row r="431" spans="1:1" ht="14.25" customHeight="1">
      <c r="A431" s="3"/>
    </row>
    <row r="432" spans="1:1" ht="14.25" customHeight="1">
      <c r="A432" s="3"/>
    </row>
    <row r="433" spans="1:1" ht="14.25" customHeight="1">
      <c r="A433" s="3"/>
    </row>
    <row r="434" spans="1:1" ht="14.25" customHeight="1">
      <c r="A434" s="3"/>
    </row>
    <row r="435" spans="1:1" ht="14.25" customHeight="1">
      <c r="A435" s="3"/>
    </row>
    <row r="436" spans="1:1" ht="14.25" customHeight="1">
      <c r="A436" s="3"/>
    </row>
    <row r="437" spans="1:1" ht="14.25" customHeight="1">
      <c r="A437" s="3"/>
    </row>
    <row r="438" spans="1:1" ht="14.25" customHeight="1">
      <c r="A438" s="3"/>
    </row>
    <row r="439" spans="1:1" ht="14.25" customHeight="1">
      <c r="A439" s="3"/>
    </row>
    <row r="440" spans="1:1" ht="14.25" customHeight="1">
      <c r="A440" s="3"/>
    </row>
    <row r="441" spans="1:1" ht="14.25" customHeight="1">
      <c r="A441" s="3"/>
    </row>
    <row r="442" spans="1:1" ht="14.25" customHeight="1">
      <c r="A442" s="3"/>
    </row>
    <row r="443" spans="1:1" ht="14.25" customHeight="1">
      <c r="A443" s="3"/>
    </row>
    <row r="444" spans="1:1" ht="14.25" customHeight="1">
      <c r="A444" s="3"/>
    </row>
    <row r="445" spans="1:1" ht="14.25" customHeight="1">
      <c r="A445" s="3"/>
    </row>
    <row r="446" spans="1:1" ht="14.25" customHeight="1">
      <c r="A446" s="3"/>
    </row>
    <row r="447" spans="1:1" ht="14.25" customHeight="1">
      <c r="A447" s="3"/>
    </row>
    <row r="448" spans="1:1" ht="14.25" customHeight="1">
      <c r="A448" s="3"/>
    </row>
    <row r="449" spans="1:1" ht="14.25" customHeight="1">
      <c r="A449" s="3"/>
    </row>
    <row r="450" spans="1:1" ht="14.25" customHeight="1">
      <c r="A450" s="3"/>
    </row>
    <row r="451" spans="1:1" ht="14.25" customHeight="1">
      <c r="A451" s="3"/>
    </row>
    <row r="452" spans="1:1" ht="14.25" customHeight="1">
      <c r="A452" s="3"/>
    </row>
    <row r="453" spans="1:1" ht="14.25" customHeight="1">
      <c r="A453" s="3"/>
    </row>
    <row r="454" spans="1:1" ht="14.25" customHeight="1">
      <c r="A454" s="3"/>
    </row>
    <row r="455" spans="1:1" ht="14.25" customHeight="1">
      <c r="A455" s="3"/>
    </row>
    <row r="456" spans="1:1" ht="14.25" customHeight="1">
      <c r="A456" s="3"/>
    </row>
    <row r="457" spans="1:1" ht="14.25" customHeight="1">
      <c r="A457" s="3"/>
    </row>
    <row r="458" spans="1:1" ht="14.25" customHeight="1">
      <c r="A458" s="3"/>
    </row>
    <row r="459" spans="1:1" ht="14.25" customHeight="1">
      <c r="A459" s="3"/>
    </row>
    <row r="460" spans="1:1" ht="14.25" customHeight="1">
      <c r="A460" s="3"/>
    </row>
    <row r="461" spans="1:1" ht="14.25" customHeight="1">
      <c r="A461" s="3"/>
    </row>
    <row r="462" spans="1:1" ht="14.25" customHeight="1">
      <c r="A462" s="3"/>
    </row>
    <row r="463" spans="1:1" ht="14.25" customHeight="1">
      <c r="A463" s="3"/>
    </row>
    <row r="464" spans="1:1" ht="14.25" customHeight="1">
      <c r="A464" s="3"/>
    </row>
    <row r="465" spans="1:1" ht="14.25" customHeight="1">
      <c r="A465" s="3"/>
    </row>
    <row r="466" spans="1:1" ht="14.25" customHeight="1">
      <c r="A466" s="3"/>
    </row>
    <row r="467" spans="1:1" ht="14.25" customHeight="1">
      <c r="A467" s="3"/>
    </row>
    <row r="468" spans="1:1" ht="14.25" customHeight="1">
      <c r="A468" s="3"/>
    </row>
    <row r="469" spans="1:1" ht="14.25" customHeight="1">
      <c r="A469" s="3"/>
    </row>
    <row r="470" spans="1:1" ht="14.25" customHeight="1">
      <c r="A470" s="3"/>
    </row>
    <row r="471" spans="1:1" ht="14.25" customHeight="1">
      <c r="A471" s="3"/>
    </row>
    <row r="472" spans="1:1" ht="14.25" customHeight="1">
      <c r="A472" s="3"/>
    </row>
    <row r="473" spans="1:1" ht="14.25" customHeight="1">
      <c r="A473" s="3"/>
    </row>
    <row r="474" spans="1:1" ht="14.25" customHeight="1">
      <c r="A474" s="3"/>
    </row>
    <row r="475" spans="1:1" ht="14.25" customHeight="1">
      <c r="A475" s="3"/>
    </row>
    <row r="476" spans="1:1" ht="14.25" customHeight="1">
      <c r="A476" s="3"/>
    </row>
    <row r="477" spans="1:1" ht="14.25" customHeight="1">
      <c r="A477" s="3"/>
    </row>
    <row r="478" spans="1:1" ht="14.25" customHeight="1">
      <c r="A478" s="3"/>
    </row>
    <row r="479" spans="1:1" ht="14.25" customHeight="1">
      <c r="A479" s="3"/>
    </row>
    <row r="480" spans="1:1" ht="14.25" customHeight="1">
      <c r="A480" s="3"/>
    </row>
    <row r="481" spans="1:1" ht="14.25" customHeight="1">
      <c r="A481" s="3"/>
    </row>
    <row r="482" spans="1:1" ht="14.25" customHeight="1">
      <c r="A482" s="3"/>
    </row>
    <row r="483" spans="1:1" ht="14.25" customHeight="1">
      <c r="A483" s="3"/>
    </row>
    <row r="484" spans="1:1" ht="14.25" customHeight="1">
      <c r="A484" s="3"/>
    </row>
    <row r="485" spans="1:1" ht="14.25" customHeight="1">
      <c r="A485" s="3"/>
    </row>
    <row r="486" spans="1:1" ht="14.25" customHeight="1">
      <c r="A486" s="3"/>
    </row>
    <row r="487" spans="1:1" ht="14.25" customHeight="1">
      <c r="A487" s="3"/>
    </row>
    <row r="488" spans="1:1" ht="14.25" customHeight="1">
      <c r="A488" s="3"/>
    </row>
    <row r="489" spans="1:1" ht="14.25" customHeight="1">
      <c r="A489" s="3"/>
    </row>
    <row r="490" spans="1:1" ht="14.25" customHeight="1">
      <c r="A490" s="3"/>
    </row>
    <row r="491" spans="1:1" ht="14.25" customHeight="1">
      <c r="A491" s="3"/>
    </row>
    <row r="492" spans="1:1" ht="14.25" customHeight="1">
      <c r="A492" s="3"/>
    </row>
    <row r="493" spans="1:1" ht="14.25" customHeight="1">
      <c r="A493" s="3"/>
    </row>
    <row r="494" spans="1:1" ht="14.25" customHeight="1">
      <c r="A494" s="3"/>
    </row>
    <row r="495" spans="1:1" ht="14.25" customHeight="1">
      <c r="A495" s="3"/>
    </row>
    <row r="496" spans="1:1" ht="14.25" customHeight="1">
      <c r="A496" s="3"/>
    </row>
    <row r="497" spans="1:1" ht="14.25" customHeight="1">
      <c r="A497" s="3"/>
    </row>
    <row r="498" spans="1:1" ht="14.25" customHeight="1">
      <c r="A498" s="3"/>
    </row>
    <row r="499" spans="1:1" ht="14.25" customHeight="1">
      <c r="A499" s="3"/>
    </row>
    <row r="500" spans="1:1" ht="14.25" customHeight="1">
      <c r="A500" s="3"/>
    </row>
    <row r="501" spans="1:1" ht="14.25" customHeight="1">
      <c r="A501" s="3"/>
    </row>
    <row r="502" spans="1:1" ht="14.25" customHeight="1">
      <c r="A502" s="3"/>
    </row>
    <row r="503" spans="1:1" ht="14.25" customHeight="1">
      <c r="A503" s="3"/>
    </row>
    <row r="504" spans="1:1" ht="14.25" customHeight="1">
      <c r="A504" s="3"/>
    </row>
    <row r="505" spans="1:1" ht="14.25" customHeight="1">
      <c r="A505" s="3"/>
    </row>
    <row r="506" spans="1:1" ht="14.25" customHeight="1">
      <c r="A506" s="3"/>
    </row>
    <row r="507" spans="1:1" ht="14.25" customHeight="1">
      <c r="A507" s="3"/>
    </row>
    <row r="508" spans="1:1" ht="14.25" customHeight="1">
      <c r="A508" s="3"/>
    </row>
    <row r="509" spans="1:1" ht="14.25" customHeight="1">
      <c r="A509" s="3"/>
    </row>
    <row r="510" spans="1:1" ht="14.25" customHeight="1">
      <c r="A510" s="3"/>
    </row>
    <row r="511" spans="1:1" ht="14.25" customHeight="1">
      <c r="A511" s="3"/>
    </row>
    <row r="512" spans="1:1" ht="14.25" customHeight="1">
      <c r="A512" s="3"/>
    </row>
    <row r="513" spans="1:1" ht="14.25" customHeight="1">
      <c r="A513" s="3"/>
    </row>
    <row r="514" spans="1:1" ht="14.25" customHeight="1">
      <c r="A514" s="3"/>
    </row>
    <row r="515" spans="1:1" ht="14.25" customHeight="1">
      <c r="A515" s="3"/>
    </row>
    <row r="516" spans="1:1" ht="14.25" customHeight="1">
      <c r="A516" s="3"/>
    </row>
    <row r="517" spans="1:1" ht="14.25" customHeight="1">
      <c r="A517" s="3"/>
    </row>
    <row r="518" spans="1:1" ht="14.25" customHeight="1">
      <c r="A518" s="3"/>
    </row>
    <row r="519" spans="1:1" ht="14.25" customHeight="1">
      <c r="A519" s="3"/>
    </row>
    <row r="520" spans="1:1" ht="14.25" customHeight="1">
      <c r="A520" s="3"/>
    </row>
    <row r="521" spans="1:1" ht="14.25" customHeight="1">
      <c r="A521" s="3"/>
    </row>
    <row r="522" spans="1:1" ht="14.25" customHeight="1">
      <c r="A522" s="3"/>
    </row>
    <row r="523" spans="1:1" ht="14.25" customHeight="1">
      <c r="A523" s="3"/>
    </row>
    <row r="524" spans="1:1" ht="14.25" customHeight="1">
      <c r="A524" s="3"/>
    </row>
    <row r="525" spans="1:1" ht="14.25" customHeight="1">
      <c r="A525" s="3"/>
    </row>
    <row r="526" spans="1:1" ht="14.25" customHeight="1">
      <c r="A526" s="3"/>
    </row>
    <row r="527" spans="1:1" ht="14.25" customHeight="1">
      <c r="A527" s="3"/>
    </row>
    <row r="528" spans="1:1" ht="14.25" customHeight="1">
      <c r="A528" s="3"/>
    </row>
    <row r="529" spans="1:1" ht="14.25" customHeight="1">
      <c r="A529" s="3"/>
    </row>
    <row r="530" spans="1:1" ht="14.25" customHeight="1">
      <c r="A530" s="3"/>
    </row>
    <row r="531" spans="1:1" ht="14.25" customHeight="1">
      <c r="A531" s="3"/>
    </row>
    <row r="532" spans="1:1" ht="14.25" customHeight="1">
      <c r="A532" s="3"/>
    </row>
    <row r="533" spans="1:1" ht="14.25" customHeight="1">
      <c r="A533" s="3"/>
    </row>
    <row r="534" spans="1:1" ht="14.25" customHeight="1">
      <c r="A534" s="3"/>
    </row>
    <row r="535" spans="1:1" ht="14.25" customHeight="1">
      <c r="A535" s="3"/>
    </row>
    <row r="536" spans="1:1" ht="14.25" customHeight="1">
      <c r="A536" s="3"/>
    </row>
    <row r="537" spans="1:1" ht="14.25" customHeight="1">
      <c r="A537" s="3"/>
    </row>
    <row r="538" spans="1:1" ht="14.25" customHeight="1">
      <c r="A538" s="3"/>
    </row>
    <row r="539" spans="1:1" ht="14.25" customHeight="1">
      <c r="A539" s="3"/>
    </row>
    <row r="540" spans="1:1" ht="14.25" customHeight="1">
      <c r="A540" s="3"/>
    </row>
    <row r="541" spans="1:1" ht="14.25" customHeight="1">
      <c r="A541" s="3"/>
    </row>
    <row r="542" spans="1:1" ht="14.25" customHeight="1">
      <c r="A542" s="3"/>
    </row>
    <row r="543" spans="1:1" ht="14.25" customHeight="1">
      <c r="A543" s="3"/>
    </row>
    <row r="544" spans="1:1" ht="14.25" customHeight="1">
      <c r="A544" s="3"/>
    </row>
    <row r="545" spans="1:1" ht="14.25" customHeight="1">
      <c r="A545" s="3"/>
    </row>
    <row r="546" spans="1:1" ht="14.25" customHeight="1">
      <c r="A546" s="3"/>
    </row>
    <row r="547" spans="1:1" ht="14.25" customHeight="1">
      <c r="A547" s="3"/>
    </row>
    <row r="548" spans="1:1" ht="14.25" customHeight="1">
      <c r="A548" s="3"/>
    </row>
    <row r="549" spans="1:1" ht="14.25" customHeight="1">
      <c r="A549" s="3"/>
    </row>
    <row r="550" spans="1:1" ht="14.25" customHeight="1">
      <c r="A550" s="3"/>
    </row>
    <row r="551" spans="1:1" ht="14.25" customHeight="1">
      <c r="A551" s="3"/>
    </row>
    <row r="552" spans="1:1" ht="14.25" customHeight="1">
      <c r="A552" s="3"/>
    </row>
    <row r="553" spans="1:1" ht="14.25" customHeight="1">
      <c r="A553" s="3"/>
    </row>
    <row r="554" spans="1:1" ht="14.25" customHeight="1">
      <c r="A554" s="3"/>
    </row>
    <row r="555" spans="1:1" ht="14.25" customHeight="1">
      <c r="A555" s="3"/>
    </row>
    <row r="556" spans="1:1" ht="14.25" customHeight="1">
      <c r="A556" s="3"/>
    </row>
    <row r="557" spans="1:1" ht="14.25" customHeight="1">
      <c r="A557" s="3"/>
    </row>
    <row r="558" spans="1:1" ht="14.25" customHeight="1">
      <c r="A558" s="3"/>
    </row>
    <row r="559" spans="1:1" ht="14.25" customHeight="1">
      <c r="A559" s="3"/>
    </row>
    <row r="560" spans="1:1" ht="14.25" customHeight="1">
      <c r="A560" s="3"/>
    </row>
    <row r="561" spans="1:1" ht="14.25" customHeight="1">
      <c r="A561" s="3"/>
    </row>
    <row r="562" spans="1:1" ht="14.25" customHeight="1">
      <c r="A562" s="3"/>
    </row>
    <row r="563" spans="1:1" ht="14.25" customHeight="1">
      <c r="A563" s="3"/>
    </row>
    <row r="564" spans="1:1" ht="14.25" customHeight="1">
      <c r="A564" s="3"/>
    </row>
    <row r="565" spans="1:1" ht="14.25" customHeight="1">
      <c r="A565" s="3"/>
    </row>
    <row r="566" spans="1:1" ht="14.25" customHeight="1">
      <c r="A566" s="3"/>
    </row>
    <row r="567" spans="1:1" ht="14.25" customHeight="1">
      <c r="A567" s="3"/>
    </row>
    <row r="568" spans="1:1" ht="14.25" customHeight="1">
      <c r="A568" s="3"/>
    </row>
    <row r="569" spans="1:1" ht="14.25" customHeight="1">
      <c r="A569" s="3"/>
    </row>
    <row r="570" spans="1:1" ht="14.25" customHeight="1">
      <c r="A570" s="3"/>
    </row>
    <row r="571" spans="1:1" ht="14.25" customHeight="1">
      <c r="A571" s="3"/>
    </row>
    <row r="572" spans="1:1" ht="14.25" customHeight="1">
      <c r="A572" s="3"/>
    </row>
    <row r="573" spans="1:1" ht="14.25" customHeight="1">
      <c r="A573" s="3"/>
    </row>
    <row r="574" spans="1:1" ht="14.25" customHeight="1">
      <c r="A574" s="3"/>
    </row>
    <row r="575" spans="1:1" ht="14.25" customHeight="1">
      <c r="A575" s="3"/>
    </row>
    <row r="576" spans="1:1" ht="14.25" customHeight="1">
      <c r="A576" s="3"/>
    </row>
    <row r="577" spans="1:1" ht="14.25" customHeight="1">
      <c r="A577" s="3"/>
    </row>
    <row r="578" spans="1:1" ht="14.25" customHeight="1">
      <c r="A578" s="3"/>
    </row>
    <row r="579" spans="1:1" ht="14.25" customHeight="1">
      <c r="A579" s="3"/>
    </row>
    <row r="580" spans="1:1" ht="14.25" customHeight="1">
      <c r="A580" s="3"/>
    </row>
    <row r="581" spans="1:1" ht="14.25" customHeight="1">
      <c r="A581" s="3"/>
    </row>
    <row r="582" spans="1:1" ht="14.25" customHeight="1">
      <c r="A582" s="3"/>
    </row>
    <row r="583" spans="1:1" ht="14.25" customHeight="1">
      <c r="A583" s="3"/>
    </row>
    <row r="584" spans="1:1" ht="14.25" customHeight="1">
      <c r="A584" s="3"/>
    </row>
    <row r="585" spans="1:1" ht="14.25" customHeight="1">
      <c r="A585" s="3"/>
    </row>
    <row r="586" spans="1:1" ht="14.25" customHeight="1">
      <c r="A586" s="3"/>
    </row>
    <row r="587" spans="1:1" ht="14.25" customHeight="1">
      <c r="A587" s="3"/>
    </row>
    <row r="588" spans="1:1" ht="14.25" customHeight="1">
      <c r="A588" s="3"/>
    </row>
    <row r="589" spans="1:1" ht="14.25" customHeight="1">
      <c r="A589" s="3"/>
    </row>
    <row r="590" spans="1:1" ht="14.25" customHeight="1">
      <c r="A590" s="3"/>
    </row>
    <row r="591" spans="1:1" ht="14.25" customHeight="1">
      <c r="A591" s="3"/>
    </row>
    <row r="592" spans="1:1" ht="14.25" customHeight="1">
      <c r="A592" s="3"/>
    </row>
    <row r="593" spans="1:1" ht="14.25" customHeight="1">
      <c r="A593" s="3"/>
    </row>
    <row r="594" spans="1:1" ht="14.25" customHeight="1">
      <c r="A594" s="3"/>
    </row>
    <row r="595" spans="1:1" ht="14.25" customHeight="1">
      <c r="A595" s="3"/>
    </row>
    <row r="596" spans="1:1" ht="14.25" customHeight="1">
      <c r="A596" s="3"/>
    </row>
    <row r="597" spans="1:1" ht="14.25" customHeight="1">
      <c r="A597" s="3"/>
    </row>
    <row r="598" spans="1:1" ht="14.25" customHeight="1">
      <c r="A598" s="3"/>
    </row>
    <row r="599" spans="1:1" ht="14.25" customHeight="1">
      <c r="A599" s="3"/>
    </row>
    <row r="600" spans="1:1" ht="14.25" customHeight="1">
      <c r="A600" s="3"/>
    </row>
    <row r="601" spans="1:1" ht="14.25" customHeight="1">
      <c r="A601" s="3"/>
    </row>
    <row r="602" spans="1:1" ht="14.25" customHeight="1">
      <c r="A602" s="3"/>
    </row>
    <row r="603" spans="1:1" ht="14.25" customHeight="1">
      <c r="A603" s="3"/>
    </row>
    <row r="604" spans="1:1" ht="14.25" customHeight="1">
      <c r="A604" s="3"/>
    </row>
    <row r="605" spans="1:1" ht="14.25" customHeight="1">
      <c r="A605" s="3"/>
    </row>
    <row r="606" spans="1:1" ht="14.25" customHeight="1">
      <c r="A606" s="3"/>
    </row>
    <row r="607" spans="1:1" ht="14.25" customHeight="1">
      <c r="A607" s="3"/>
    </row>
    <row r="608" spans="1:1" ht="14.25" customHeight="1">
      <c r="A608" s="3"/>
    </row>
    <row r="609" spans="1:1" ht="14.25" customHeight="1">
      <c r="A609" s="3"/>
    </row>
    <row r="610" spans="1:1" ht="14.25" customHeight="1">
      <c r="A610" s="3"/>
    </row>
    <row r="611" spans="1:1" ht="14.25" customHeight="1">
      <c r="A611" s="3"/>
    </row>
    <row r="612" spans="1:1" ht="14.25" customHeight="1">
      <c r="A612" s="3"/>
    </row>
    <row r="613" spans="1:1" ht="14.25" customHeight="1">
      <c r="A613" s="3"/>
    </row>
    <row r="614" spans="1:1" ht="14.25" customHeight="1">
      <c r="A614" s="3"/>
    </row>
    <row r="615" spans="1:1" ht="14.25" customHeight="1">
      <c r="A615" s="3"/>
    </row>
    <row r="616" spans="1:1" ht="14.25" customHeight="1">
      <c r="A616" s="3"/>
    </row>
    <row r="617" spans="1:1" ht="14.25" customHeight="1">
      <c r="A617" s="3"/>
    </row>
    <row r="618" spans="1:1" ht="14.25" customHeight="1">
      <c r="A618" s="3"/>
    </row>
    <row r="619" spans="1:1" ht="14.25" customHeight="1">
      <c r="A619" s="3"/>
    </row>
    <row r="620" spans="1:1" ht="14.25" customHeight="1">
      <c r="A620" s="3"/>
    </row>
    <row r="621" spans="1:1" ht="14.25" customHeight="1">
      <c r="A621" s="3"/>
    </row>
    <row r="622" spans="1:1" ht="14.25" customHeight="1">
      <c r="A622" s="3"/>
    </row>
    <row r="623" spans="1:1" ht="14.25" customHeight="1">
      <c r="A623" s="3"/>
    </row>
    <row r="624" spans="1:1" ht="14.25" customHeight="1">
      <c r="A624" s="3"/>
    </row>
    <row r="625" spans="1:1" ht="14.25" customHeight="1">
      <c r="A625" s="3"/>
    </row>
    <row r="626" spans="1:1" ht="14.25" customHeight="1">
      <c r="A626" s="3"/>
    </row>
    <row r="627" spans="1:1" ht="14.25" customHeight="1">
      <c r="A627" s="3"/>
    </row>
    <row r="628" spans="1:1" ht="14.25" customHeight="1">
      <c r="A628" s="3"/>
    </row>
    <row r="629" spans="1:1" ht="14.25" customHeight="1">
      <c r="A629" s="3"/>
    </row>
    <row r="630" spans="1:1" ht="14.25" customHeight="1">
      <c r="A630" s="3"/>
    </row>
    <row r="631" spans="1:1" ht="14.25" customHeight="1">
      <c r="A631" s="3"/>
    </row>
    <row r="632" spans="1:1" ht="14.25" customHeight="1">
      <c r="A632" s="3"/>
    </row>
    <row r="633" spans="1:1" ht="14.25" customHeight="1">
      <c r="A633" s="3"/>
    </row>
    <row r="634" spans="1:1" ht="14.25" customHeight="1">
      <c r="A634" s="3"/>
    </row>
    <row r="635" spans="1:1" ht="14.25" customHeight="1">
      <c r="A635" s="3"/>
    </row>
    <row r="636" spans="1:1" ht="14.25" customHeight="1">
      <c r="A636" s="3"/>
    </row>
    <row r="637" spans="1:1" ht="14.25" customHeight="1">
      <c r="A637" s="3"/>
    </row>
    <row r="638" spans="1:1" ht="14.25" customHeight="1">
      <c r="A638" s="3"/>
    </row>
    <row r="639" spans="1:1" ht="14.25" customHeight="1">
      <c r="A639" s="3"/>
    </row>
    <row r="640" spans="1:1" ht="14.25" customHeight="1">
      <c r="A640" s="3"/>
    </row>
    <row r="641" spans="1:1" ht="14.25" customHeight="1">
      <c r="A641" s="3"/>
    </row>
    <row r="642" spans="1:1" ht="14.25" customHeight="1">
      <c r="A642" s="3"/>
    </row>
    <row r="643" spans="1:1" ht="14.25" customHeight="1">
      <c r="A643" s="3"/>
    </row>
    <row r="644" spans="1:1" ht="14.25" customHeight="1">
      <c r="A644" s="3"/>
    </row>
    <row r="645" spans="1:1" ht="14.25" customHeight="1">
      <c r="A645" s="3"/>
    </row>
    <row r="646" spans="1:1" ht="14.25" customHeight="1">
      <c r="A646" s="3"/>
    </row>
    <row r="647" spans="1:1" ht="14.25" customHeight="1">
      <c r="A647" s="3"/>
    </row>
    <row r="648" spans="1:1" ht="14.25" customHeight="1">
      <c r="A648" s="3"/>
    </row>
    <row r="649" spans="1:1" ht="14.25" customHeight="1">
      <c r="A649" s="3"/>
    </row>
    <row r="650" spans="1:1" ht="14.25" customHeight="1">
      <c r="A650" s="3"/>
    </row>
    <row r="651" spans="1:1" ht="14.25" customHeight="1">
      <c r="A651" s="3"/>
    </row>
    <row r="652" spans="1:1" ht="14.25" customHeight="1">
      <c r="A652" s="3"/>
    </row>
    <row r="653" spans="1:1" ht="14.25" customHeight="1">
      <c r="A653" s="3"/>
    </row>
    <row r="654" spans="1:1" ht="14.25" customHeight="1">
      <c r="A654" s="3"/>
    </row>
    <row r="655" spans="1:1" ht="14.25" customHeight="1">
      <c r="A655" s="3"/>
    </row>
    <row r="656" spans="1:1" ht="14.25" customHeight="1">
      <c r="A656" s="3"/>
    </row>
    <row r="657" spans="1:1" ht="14.25" customHeight="1">
      <c r="A657" s="3"/>
    </row>
    <row r="658" spans="1:1" ht="14.25" customHeight="1">
      <c r="A658" s="3"/>
    </row>
    <row r="659" spans="1:1" ht="14.25" customHeight="1">
      <c r="A659" s="3"/>
    </row>
    <row r="660" spans="1:1" ht="14.25" customHeight="1">
      <c r="A660" s="3"/>
    </row>
    <row r="661" spans="1:1" ht="14.25" customHeight="1">
      <c r="A661" s="3"/>
    </row>
    <row r="662" spans="1:1" ht="14.25" customHeight="1">
      <c r="A662" s="3"/>
    </row>
    <row r="663" spans="1:1" ht="14.25" customHeight="1">
      <c r="A663" s="3"/>
    </row>
    <row r="664" spans="1:1" ht="14.25" customHeight="1">
      <c r="A664" s="3"/>
    </row>
    <row r="665" spans="1:1" ht="14.25" customHeight="1">
      <c r="A665" s="3"/>
    </row>
    <row r="666" spans="1:1" ht="14.25" customHeight="1">
      <c r="A666" s="3"/>
    </row>
    <row r="667" spans="1:1" ht="14.25" customHeight="1">
      <c r="A667" s="3"/>
    </row>
    <row r="668" spans="1:1" ht="14.25" customHeight="1">
      <c r="A668" s="3"/>
    </row>
    <row r="669" spans="1:1" ht="14.25" customHeight="1">
      <c r="A669" s="3"/>
    </row>
    <row r="670" spans="1:1" ht="14.25" customHeight="1">
      <c r="A670" s="3"/>
    </row>
    <row r="671" spans="1:1" ht="14.25" customHeight="1">
      <c r="A671" s="3"/>
    </row>
    <row r="672" spans="1:1" ht="14.25" customHeight="1">
      <c r="A672" s="3"/>
    </row>
    <row r="673" spans="1:1" ht="14.25" customHeight="1">
      <c r="A673" s="3"/>
    </row>
    <row r="674" spans="1:1" ht="14.25" customHeight="1">
      <c r="A674" s="3"/>
    </row>
    <row r="675" spans="1:1" ht="14.25" customHeight="1">
      <c r="A675" s="3"/>
    </row>
    <row r="676" spans="1:1" ht="14.25" customHeight="1">
      <c r="A676" s="3"/>
    </row>
    <row r="677" spans="1:1" ht="14.25" customHeight="1">
      <c r="A677" s="3"/>
    </row>
    <row r="678" spans="1:1" ht="14.25" customHeight="1">
      <c r="A678" s="3"/>
    </row>
    <row r="679" spans="1:1" ht="14.25" customHeight="1">
      <c r="A679" s="3"/>
    </row>
    <row r="680" spans="1:1" ht="14.25" customHeight="1">
      <c r="A680" s="3"/>
    </row>
    <row r="681" spans="1:1" ht="14.25" customHeight="1">
      <c r="A681" s="3"/>
    </row>
    <row r="682" spans="1:1" ht="14.25" customHeight="1">
      <c r="A682" s="3"/>
    </row>
    <row r="683" spans="1:1" ht="14.25" customHeight="1">
      <c r="A683" s="3"/>
    </row>
    <row r="684" spans="1:1" ht="14.25" customHeight="1">
      <c r="A684" s="3"/>
    </row>
    <row r="685" spans="1:1" ht="14.25" customHeight="1">
      <c r="A685" s="3"/>
    </row>
    <row r="686" spans="1:1" ht="14.25" customHeight="1">
      <c r="A686" s="3"/>
    </row>
    <row r="687" spans="1:1" ht="14.25" customHeight="1">
      <c r="A687" s="3"/>
    </row>
    <row r="688" spans="1:1" ht="14.25" customHeight="1">
      <c r="A688" s="3"/>
    </row>
    <row r="689" spans="1:1" ht="14.25" customHeight="1">
      <c r="A689" s="3"/>
    </row>
    <row r="690" spans="1:1" ht="14.25" customHeight="1">
      <c r="A690" s="3"/>
    </row>
    <row r="691" spans="1:1" ht="14.25" customHeight="1">
      <c r="A691" s="3"/>
    </row>
    <row r="692" spans="1:1" ht="14.25" customHeight="1">
      <c r="A692" s="3"/>
    </row>
    <row r="693" spans="1:1" ht="14.25" customHeight="1">
      <c r="A693" s="3"/>
    </row>
    <row r="694" spans="1:1" ht="14.25" customHeight="1">
      <c r="A694" s="3"/>
    </row>
    <row r="695" spans="1:1" ht="14.25" customHeight="1">
      <c r="A695" s="3"/>
    </row>
    <row r="696" spans="1:1" ht="14.25" customHeight="1">
      <c r="A696" s="3"/>
    </row>
    <row r="697" spans="1:1" ht="14.25" customHeight="1">
      <c r="A697" s="3"/>
    </row>
    <row r="698" spans="1:1" ht="14.25" customHeight="1">
      <c r="A698" s="3"/>
    </row>
    <row r="699" spans="1:1" ht="14.25" customHeight="1">
      <c r="A699" s="3"/>
    </row>
    <row r="700" spans="1:1" ht="14.25" customHeight="1">
      <c r="A700" s="3"/>
    </row>
    <row r="701" spans="1:1" ht="14.25" customHeight="1">
      <c r="A701" s="3"/>
    </row>
    <row r="702" spans="1:1" ht="14.25" customHeight="1">
      <c r="A702" s="3"/>
    </row>
    <row r="703" spans="1:1" ht="14.25" customHeight="1">
      <c r="A703" s="3"/>
    </row>
    <row r="704" spans="1:1" ht="14.25" customHeight="1">
      <c r="A704" s="3"/>
    </row>
    <row r="705" spans="1:1" ht="14.25" customHeight="1">
      <c r="A705" s="3"/>
    </row>
    <row r="706" spans="1:1" ht="14.25" customHeight="1">
      <c r="A706" s="3"/>
    </row>
    <row r="707" spans="1:1" ht="14.25" customHeight="1">
      <c r="A707" s="3"/>
    </row>
    <row r="708" spans="1:1" ht="14.25" customHeight="1">
      <c r="A708" s="3"/>
    </row>
    <row r="709" spans="1:1" ht="14.25" customHeight="1">
      <c r="A709" s="3"/>
    </row>
    <row r="710" spans="1:1" ht="14.25" customHeight="1">
      <c r="A710" s="3"/>
    </row>
    <row r="711" spans="1:1" ht="14.25" customHeight="1">
      <c r="A711" s="3"/>
    </row>
    <row r="712" spans="1:1" ht="14.25" customHeight="1">
      <c r="A712" s="3"/>
    </row>
    <row r="713" spans="1:1" ht="14.25" customHeight="1">
      <c r="A713" s="3"/>
    </row>
    <row r="714" spans="1:1" ht="14.25" customHeight="1">
      <c r="A714" s="3"/>
    </row>
    <row r="715" spans="1:1" ht="14.25" customHeight="1">
      <c r="A715" s="3"/>
    </row>
    <row r="716" spans="1:1" ht="14.25" customHeight="1">
      <c r="A716" s="3"/>
    </row>
    <row r="717" spans="1:1" ht="14.25" customHeight="1">
      <c r="A717" s="3"/>
    </row>
    <row r="718" spans="1:1" ht="14.25" customHeight="1">
      <c r="A718" s="3"/>
    </row>
    <row r="719" spans="1:1" ht="14.25" customHeight="1">
      <c r="A719" s="3"/>
    </row>
    <row r="720" spans="1:1" ht="14.25" customHeight="1">
      <c r="A720" s="3"/>
    </row>
    <row r="721" spans="1:1" ht="14.25" customHeight="1">
      <c r="A721" s="3"/>
    </row>
    <row r="722" spans="1:1" ht="14.25" customHeight="1">
      <c r="A722" s="3"/>
    </row>
    <row r="723" spans="1:1" ht="14.25" customHeight="1">
      <c r="A723" s="3"/>
    </row>
    <row r="724" spans="1:1" ht="14.25" customHeight="1">
      <c r="A724" s="3"/>
    </row>
    <row r="725" spans="1:1" ht="14.25" customHeight="1">
      <c r="A725" s="3"/>
    </row>
    <row r="726" spans="1:1" ht="14.25" customHeight="1">
      <c r="A726" s="3"/>
    </row>
    <row r="727" spans="1:1" ht="14.25" customHeight="1">
      <c r="A727" s="3"/>
    </row>
    <row r="728" spans="1:1" ht="14.25" customHeight="1">
      <c r="A728" s="3"/>
    </row>
    <row r="729" spans="1:1" ht="14.25" customHeight="1">
      <c r="A729" s="3"/>
    </row>
    <row r="730" spans="1:1" ht="14.25" customHeight="1">
      <c r="A730" s="3"/>
    </row>
    <row r="731" spans="1:1" ht="14.25" customHeight="1">
      <c r="A731" s="3"/>
    </row>
    <row r="732" spans="1:1" ht="14.25" customHeight="1">
      <c r="A732" s="3"/>
    </row>
    <row r="733" spans="1:1" ht="14.25" customHeight="1">
      <c r="A733" s="3"/>
    </row>
    <row r="734" spans="1:1" ht="14.25" customHeight="1">
      <c r="A734" s="3"/>
    </row>
    <row r="735" spans="1:1" ht="14.25" customHeight="1">
      <c r="A735" s="3"/>
    </row>
    <row r="736" spans="1:1" ht="14.25" customHeight="1">
      <c r="A736" s="3"/>
    </row>
    <row r="737" spans="1:1" ht="14.25" customHeight="1">
      <c r="A737" s="3"/>
    </row>
    <row r="738" spans="1:1" ht="14.25" customHeight="1">
      <c r="A738" s="3"/>
    </row>
    <row r="739" spans="1:1" ht="14.25" customHeight="1">
      <c r="A739" s="3"/>
    </row>
    <row r="740" spans="1:1" ht="14.25" customHeight="1">
      <c r="A740" s="3"/>
    </row>
    <row r="741" spans="1:1" ht="14.25" customHeight="1">
      <c r="A741" s="3"/>
    </row>
    <row r="742" spans="1:1" ht="14.25" customHeight="1">
      <c r="A742" s="3"/>
    </row>
    <row r="743" spans="1:1" ht="14.25" customHeight="1">
      <c r="A743" s="3"/>
    </row>
    <row r="744" spans="1:1" ht="14.25" customHeight="1">
      <c r="A744" s="3"/>
    </row>
    <row r="745" spans="1:1" ht="14.25" customHeight="1">
      <c r="A745" s="3"/>
    </row>
    <row r="746" spans="1:1" ht="14.25" customHeight="1">
      <c r="A746" s="3"/>
    </row>
    <row r="747" spans="1:1" ht="14.25" customHeight="1">
      <c r="A747" s="3"/>
    </row>
    <row r="748" spans="1:1" ht="14.25" customHeight="1">
      <c r="A748" s="3"/>
    </row>
    <row r="749" spans="1:1" ht="14.25" customHeight="1">
      <c r="A749" s="3"/>
    </row>
    <row r="750" spans="1:1" ht="14.25" customHeight="1">
      <c r="A750" s="3"/>
    </row>
    <row r="751" spans="1:1" ht="14.25" customHeight="1">
      <c r="A751" s="3"/>
    </row>
    <row r="752" spans="1:1" ht="14.25" customHeight="1">
      <c r="A752" s="3"/>
    </row>
    <row r="753" spans="1:1" ht="14.25" customHeight="1">
      <c r="A753" s="3"/>
    </row>
    <row r="754" spans="1:1" ht="14.25" customHeight="1">
      <c r="A754" s="3"/>
    </row>
    <row r="755" spans="1:1" ht="14.25" customHeight="1">
      <c r="A755" s="3"/>
    </row>
    <row r="756" spans="1:1" ht="14.25" customHeight="1">
      <c r="A756" s="3"/>
    </row>
    <row r="757" spans="1:1" ht="14.25" customHeight="1">
      <c r="A757" s="3"/>
    </row>
    <row r="758" spans="1:1" ht="14.25" customHeight="1">
      <c r="A758" s="3"/>
    </row>
    <row r="759" spans="1:1" ht="14.25" customHeight="1">
      <c r="A759" s="3"/>
    </row>
    <row r="760" spans="1:1" ht="14.25" customHeight="1">
      <c r="A760" s="3"/>
    </row>
    <row r="761" spans="1:1" ht="14.25" customHeight="1">
      <c r="A761" s="3"/>
    </row>
    <row r="762" spans="1:1" ht="14.25" customHeight="1">
      <c r="A762" s="3"/>
    </row>
    <row r="763" spans="1:1" ht="14.25" customHeight="1">
      <c r="A763" s="3"/>
    </row>
    <row r="764" spans="1:1" ht="14.25" customHeight="1">
      <c r="A764" s="3"/>
    </row>
    <row r="765" spans="1:1" ht="14.25" customHeight="1">
      <c r="A765" s="3"/>
    </row>
    <row r="766" spans="1:1" ht="14.25" customHeight="1">
      <c r="A766" s="3"/>
    </row>
    <row r="767" spans="1:1" ht="14.25" customHeight="1">
      <c r="A767" s="3"/>
    </row>
    <row r="768" spans="1:1" ht="14.25" customHeight="1">
      <c r="A768" s="3"/>
    </row>
    <row r="769" spans="1:1" ht="14.25" customHeight="1">
      <c r="A769" s="3"/>
    </row>
    <row r="770" spans="1:1" ht="14.25" customHeight="1">
      <c r="A770" s="3"/>
    </row>
    <row r="771" spans="1:1" ht="14.25" customHeight="1">
      <c r="A771" s="3"/>
    </row>
    <row r="772" spans="1:1" ht="14.25" customHeight="1">
      <c r="A772" s="3"/>
    </row>
    <row r="773" spans="1:1" ht="14.25" customHeight="1">
      <c r="A773" s="3"/>
    </row>
    <row r="774" spans="1:1" ht="14.25" customHeight="1">
      <c r="A774" s="3"/>
    </row>
    <row r="775" spans="1:1" ht="14.25" customHeight="1">
      <c r="A775" s="3"/>
    </row>
    <row r="776" spans="1:1" ht="14.25" customHeight="1">
      <c r="A776" s="3"/>
    </row>
    <row r="777" spans="1:1" ht="14.25" customHeight="1">
      <c r="A777" s="3"/>
    </row>
    <row r="778" spans="1:1" ht="14.25" customHeight="1">
      <c r="A778" s="3"/>
    </row>
    <row r="779" spans="1:1" ht="14.25" customHeight="1">
      <c r="A779" s="3"/>
    </row>
    <row r="780" spans="1:1" ht="14.25" customHeight="1">
      <c r="A780" s="3"/>
    </row>
    <row r="781" spans="1:1" ht="14.25" customHeight="1">
      <c r="A781" s="3"/>
    </row>
    <row r="782" spans="1:1" ht="14.25" customHeight="1">
      <c r="A782" s="3"/>
    </row>
    <row r="783" spans="1:1" ht="14.25" customHeight="1">
      <c r="A783" s="3"/>
    </row>
    <row r="784" spans="1:1" ht="14.25" customHeight="1">
      <c r="A784" s="3"/>
    </row>
    <row r="785" spans="1:1" ht="14.25" customHeight="1">
      <c r="A785" s="3"/>
    </row>
    <row r="786" spans="1:1" ht="14.25" customHeight="1">
      <c r="A786" s="3"/>
    </row>
    <row r="787" spans="1:1" ht="14.25" customHeight="1">
      <c r="A787" s="3"/>
    </row>
    <row r="788" spans="1:1" ht="14.25" customHeight="1">
      <c r="A788" s="3"/>
    </row>
    <row r="789" spans="1:1" ht="14.25" customHeight="1">
      <c r="A789" s="3"/>
    </row>
    <row r="790" spans="1:1" ht="14.25" customHeight="1">
      <c r="A790" s="3"/>
    </row>
    <row r="791" spans="1:1" ht="14.25" customHeight="1">
      <c r="A791" s="3"/>
    </row>
    <row r="792" spans="1:1" ht="14.25" customHeight="1">
      <c r="A792" s="3"/>
    </row>
    <row r="793" spans="1:1" ht="14.25" customHeight="1">
      <c r="A793" s="3"/>
    </row>
    <row r="794" spans="1:1" ht="14.25" customHeight="1">
      <c r="A794" s="3"/>
    </row>
    <row r="795" spans="1:1" ht="14.25" customHeight="1">
      <c r="A795" s="3"/>
    </row>
    <row r="796" spans="1:1" ht="14.25" customHeight="1">
      <c r="A796" s="3"/>
    </row>
    <row r="797" spans="1:1" ht="14.25" customHeight="1">
      <c r="A797" s="3"/>
    </row>
    <row r="798" spans="1:1" ht="14.25" customHeight="1">
      <c r="A798" s="3"/>
    </row>
    <row r="799" spans="1:1" ht="14.25" customHeight="1">
      <c r="A799" s="3"/>
    </row>
    <row r="800" spans="1:1" ht="14.25" customHeight="1">
      <c r="A800" s="3"/>
    </row>
    <row r="801" spans="1:1" ht="14.25" customHeight="1">
      <c r="A801" s="3"/>
    </row>
    <row r="802" spans="1:1" ht="14.25" customHeight="1">
      <c r="A802" s="3"/>
    </row>
    <row r="803" spans="1:1" ht="14.25" customHeight="1">
      <c r="A803" s="3"/>
    </row>
    <row r="804" spans="1:1" ht="14.25" customHeight="1">
      <c r="A804" s="3"/>
    </row>
    <row r="805" spans="1:1" ht="14.25" customHeight="1">
      <c r="A805" s="3"/>
    </row>
    <row r="806" spans="1:1" ht="14.25" customHeight="1">
      <c r="A806" s="3"/>
    </row>
    <row r="807" spans="1:1" ht="14.25" customHeight="1">
      <c r="A807" s="3"/>
    </row>
    <row r="808" spans="1:1" ht="14.25" customHeight="1">
      <c r="A808" s="3"/>
    </row>
    <row r="809" spans="1:1" ht="14.25" customHeight="1">
      <c r="A809" s="3"/>
    </row>
    <row r="810" spans="1:1" ht="14.25" customHeight="1">
      <c r="A810" s="3"/>
    </row>
    <row r="811" spans="1:1" ht="14.25" customHeight="1">
      <c r="A811" s="3"/>
    </row>
    <row r="812" spans="1:1" ht="14.25" customHeight="1">
      <c r="A812" s="3"/>
    </row>
    <row r="813" spans="1:1" ht="14.25" customHeight="1">
      <c r="A813" s="3"/>
    </row>
    <row r="814" spans="1:1" ht="14.25" customHeight="1">
      <c r="A814" s="3"/>
    </row>
    <row r="815" spans="1:1" ht="14.25" customHeight="1">
      <c r="A815" s="3"/>
    </row>
    <row r="816" spans="1:1" ht="14.25" customHeight="1">
      <c r="A816" s="3"/>
    </row>
    <row r="817" spans="1:1" ht="14.25" customHeight="1">
      <c r="A817" s="3"/>
    </row>
    <row r="818" spans="1:1" ht="14.25" customHeight="1">
      <c r="A818" s="3"/>
    </row>
    <row r="819" spans="1:1" ht="14.25" customHeight="1">
      <c r="A819" s="3"/>
    </row>
    <row r="820" spans="1:1" ht="14.25" customHeight="1">
      <c r="A820" s="3"/>
    </row>
    <row r="821" spans="1:1" ht="14.25" customHeight="1">
      <c r="A821" s="3"/>
    </row>
    <row r="822" spans="1:1" ht="14.25" customHeight="1">
      <c r="A822" s="3"/>
    </row>
    <row r="823" spans="1:1" ht="14.25" customHeight="1">
      <c r="A823" s="3"/>
    </row>
    <row r="824" spans="1:1" ht="14.25" customHeight="1">
      <c r="A824" s="3"/>
    </row>
    <row r="825" spans="1:1" ht="14.25" customHeight="1">
      <c r="A825" s="3"/>
    </row>
    <row r="826" spans="1:1" ht="14.25" customHeight="1">
      <c r="A826" s="3"/>
    </row>
    <row r="827" spans="1:1" ht="14.25" customHeight="1">
      <c r="A827" s="3"/>
    </row>
    <row r="828" spans="1:1" ht="14.25" customHeight="1">
      <c r="A828" s="3"/>
    </row>
    <row r="829" spans="1:1" ht="14.25" customHeight="1">
      <c r="A829" s="3"/>
    </row>
    <row r="830" spans="1:1" ht="14.25" customHeight="1">
      <c r="A830" s="3"/>
    </row>
    <row r="831" spans="1:1" ht="14.25" customHeight="1">
      <c r="A831" s="3"/>
    </row>
    <row r="832" spans="1:1" ht="14.25" customHeight="1">
      <c r="A832" s="3"/>
    </row>
    <row r="833" spans="1:1" ht="14.25" customHeight="1">
      <c r="A833" s="3"/>
    </row>
    <row r="834" spans="1:1" ht="14.25" customHeight="1">
      <c r="A834" s="3"/>
    </row>
    <row r="835" spans="1:1" ht="14.25" customHeight="1">
      <c r="A835" s="3"/>
    </row>
    <row r="836" spans="1:1" ht="14.25" customHeight="1">
      <c r="A836" s="3"/>
    </row>
    <row r="837" spans="1:1" ht="14.25" customHeight="1">
      <c r="A837" s="3"/>
    </row>
    <row r="838" spans="1:1" ht="14.25" customHeight="1">
      <c r="A838" s="3"/>
    </row>
    <row r="839" spans="1:1" ht="14.25" customHeight="1">
      <c r="A839" s="3"/>
    </row>
    <row r="840" spans="1:1" ht="14.25" customHeight="1">
      <c r="A840" s="3"/>
    </row>
    <row r="841" spans="1:1" ht="14.25" customHeight="1">
      <c r="A841" s="3"/>
    </row>
    <row r="842" spans="1:1" ht="14.25" customHeight="1">
      <c r="A842" s="3"/>
    </row>
    <row r="843" spans="1:1" ht="14.25" customHeight="1">
      <c r="A843" s="3"/>
    </row>
    <row r="844" spans="1:1" ht="14.25" customHeight="1">
      <c r="A844" s="3"/>
    </row>
    <row r="845" spans="1:1" ht="14.25" customHeight="1">
      <c r="A845" s="3"/>
    </row>
    <row r="846" spans="1:1" ht="14.25" customHeight="1">
      <c r="A846" s="3"/>
    </row>
    <row r="847" spans="1:1" ht="14.25" customHeight="1">
      <c r="A847" s="3"/>
    </row>
    <row r="848" spans="1:1" ht="14.25" customHeight="1">
      <c r="A848" s="3"/>
    </row>
    <row r="849" spans="1:1" ht="14.25" customHeight="1">
      <c r="A849" s="3"/>
    </row>
    <row r="850" spans="1:1" ht="14.25" customHeight="1">
      <c r="A850" s="3"/>
    </row>
    <row r="851" spans="1:1" ht="14.25" customHeight="1">
      <c r="A851" s="3"/>
    </row>
    <row r="852" spans="1:1" ht="14.25" customHeight="1">
      <c r="A852" s="3"/>
    </row>
    <row r="853" spans="1:1" ht="14.25" customHeight="1">
      <c r="A853" s="3"/>
    </row>
    <row r="854" spans="1:1" ht="14.25" customHeight="1">
      <c r="A854" s="3"/>
    </row>
    <row r="855" spans="1:1" ht="14.25" customHeight="1">
      <c r="A855" s="3"/>
    </row>
    <row r="856" spans="1:1" ht="14.25" customHeight="1">
      <c r="A856" s="3"/>
    </row>
    <row r="857" spans="1:1" ht="14.25" customHeight="1">
      <c r="A857" s="3"/>
    </row>
    <row r="858" spans="1:1" ht="14.25" customHeight="1">
      <c r="A858" s="3"/>
    </row>
    <row r="859" spans="1:1" ht="14.25" customHeight="1">
      <c r="A859" s="3"/>
    </row>
    <row r="860" spans="1:1" ht="14.25" customHeight="1">
      <c r="A860" s="3"/>
    </row>
    <row r="861" spans="1:1" ht="14.25" customHeight="1">
      <c r="A861" s="3"/>
    </row>
    <row r="862" spans="1:1" ht="14.25" customHeight="1">
      <c r="A862" s="3"/>
    </row>
    <row r="863" spans="1:1" ht="14.25" customHeight="1">
      <c r="A863" s="3"/>
    </row>
    <row r="864" spans="1:1" ht="14.25" customHeight="1">
      <c r="A864" s="3"/>
    </row>
    <row r="865" spans="1:1" ht="14.25" customHeight="1">
      <c r="A865" s="3"/>
    </row>
    <row r="866" spans="1:1" ht="14.25" customHeight="1">
      <c r="A866" s="3"/>
    </row>
    <row r="867" spans="1:1" ht="14.25" customHeight="1">
      <c r="A867" s="3"/>
    </row>
    <row r="868" spans="1:1" ht="14.25" customHeight="1">
      <c r="A868" s="3"/>
    </row>
    <row r="869" spans="1:1" ht="14.25" customHeight="1">
      <c r="A869" s="3"/>
    </row>
    <row r="870" spans="1:1" ht="14.25" customHeight="1">
      <c r="A870" s="3"/>
    </row>
    <row r="871" spans="1:1" ht="14.25" customHeight="1">
      <c r="A871" s="3"/>
    </row>
    <row r="872" spans="1:1" ht="14.25" customHeight="1">
      <c r="A872" s="3"/>
    </row>
    <row r="873" spans="1:1" ht="14.25" customHeight="1">
      <c r="A873" s="3"/>
    </row>
    <row r="874" spans="1:1" ht="14.25" customHeight="1">
      <c r="A874" s="3"/>
    </row>
    <row r="875" spans="1:1" ht="14.25" customHeight="1">
      <c r="A875" s="3"/>
    </row>
    <row r="876" spans="1:1" ht="14.25" customHeight="1">
      <c r="A876" s="3"/>
    </row>
    <row r="877" spans="1:1" ht="14.25" customHeight="1">
      <c r="A877" s="3"/>
    </row>
    <row r="878" spans="1:1" ht="14.25" customHeight="1">
      <c r="A878" s="3"/>
    </row>
    <row r="879" spans="1:1" ht="14.25" customHeight="1">
      <c r="A879" s="3"/>
    </row>
    <row r="880" spans="1:1" ht="14.25" customHeight="1">
      <c r="A880" s="3"/>
    </row>
    <row r="881" spans="1:1" ht="14.25" customHeight="1">
      <c r="A881" s="3"/>
    </row>
    <row r="882" spans="1:1" ht="14.25" customHeight="1">
      <c r="A882" s="3"/>
    </row>
    <row r="883" spans="1:1" ht="14.25" customHeight="1">
      <c r="A883" s="3"/>
    </row>
    <row r="884" spans="1:1" ht="14.25" customHeight="1">
      <c r="A884" s="3"/>
    </row>
    <row r="885" spans="1:1" ht="14.25" customHeight="1">
      <c r="A885" s="3"/>
    </row>
    <row r="886" spans="1:1" ht="14.25" customHeight="1">
      <c r="A886" s="3"/>
    </row>
    <row r="887" spans="1:1" ht="14.25" customHeight="1">
      <c r="A887" s="3"/>
    </row>
    <row r="888" spans="1:1" ht="14.25" customHeight="1">
      <c r="A888" s="3"/>
    </row>
    <row r="889" spans="1:1" ht="14.25" customHeight="1">
      <c r="A889" s="3"/>
    </row>
    <row r="890" spans="1:1" ht="14.25" customHeight="1">
      <c r="A890" s="3"/>
    </row>
    <row r="891" spans="1:1" ht="14.25" customHeight="1">
      <c r="A891" s="3"/>
    </row>
    <row r="892" spans="1:1" ht="14.25" customHeight="1">
      <c r="A892" s="3"/>
    </row>
    <row r="893" spans="1:1" ht="14.25" customHeight="1">
      <c r="A893" s="3"/>
    </row>
    <row r="894" spans="1:1" ht="14.25" customHeight="1">
      <c r="A894" s="3"/>
    </row>
    <row r="895" spans="1:1" ht="14.25" customHeight="1">
      <c r="A895" s="3"/>
    </row>
    <row r="896" spans="1:1" ht="14.25" customHeight="1">
      <c r="A896" s="3"/>
    </row>
    <row r="897" spans="1:1" ht="14.25" customHeight="1">
      <c r="A897" s="3"/>
    </row>
    <row r="898" spans="1:1" ht="14.25" customHeight="1">
      <c r="A898" s="3"/>
    </row>
    <row r="899" spans="1:1" ht="14.25" customHeight="1">
      <c r="A899" s="3"/>
    </row>
    <row r="900" spans="1:1" ht="14.25" customHeight="1">
      <c r="A900" s="3"/>
    </row>
    <row r="901" spans="1:1" ht="14.25" customHeight="1">
      <c r="A901" s="3"/>
    </row>
    <row r="902" spans="1:1" ht="14.25" customHeight="1">
      <c r="A902" s="3"/>
    </row>
    <row r="903" spans="1:1" ht="14.25" customHeight="1">
      <c r="A903" s="3"/>
    </row>
    <row r="904" spans="1:1" ht="14.25" customHeight="1">
      <c r="A904" s="3"/>
    </row>
    <row r="905" spans="1:1" ht="14.25" customHeight="1">
      <c r="A905" s="3"/>
    </row>
    <row r="906" spans="1:1" ht="14.25" customHeight="1">
      <c r="A906" s="3"/>
    </row>
    <row r="907" spans="1:1" ht="14.25" customHeight="1">
      <c r="A907" s="3"/>
    </row>
    <row r="908" spans="1:1" ht="14.25" customHeight="1">
      <c r="A908" s="3"/>
    </row>
    <row r="909" spans="1:1" ht="14.25" customHeight="1">
      <c r="A909" s="3"/>
    </row>
    <row r="910" spans="1:1" ht="14.25" customHeight="1">
      <c r="A910" s="3"/>
    </row>
    <row r="911" spans="1:1" ht="14.25" customHeight="1">
      <c r="A911" s="3"/>
    </row>
    <row r="912" spans="1:1" ht="14.25" customHeight="1">
      <c r="A912" s="3"/>
    </row>
    <row r="913" spans="1:1" ht="14.25" customHeight="1">
      <c r="A913" s="3"/>
    </row>
    <row r="914" spans="1:1" ht="14.25" customHeight="1">
      <c r="A914" s="3"/>
    </row>
    <row r="915" spans="1:1" ht="14.25" customHeight="1">
      <c r="A915" s="3"/>
    </row>
    <row r="916" spans="1:1" ht="14.25" customHeight="1">
      <c r="A916" s="3"/>
    </row>
    <row r="917" spans="1:1" ht="14.25" customHeight="1">
      <c r="A917" s="3"/>
    </row>
    <row r="918" spans="1:1" ht="14.25" customHeight="1">
      <c r="A918" s="3"/>
    </row>
    <row r="919" spans="1:1" ht="14.25" customHeight="1">
      <c r="A919" s="3"/>
    </row>
    <row r="920" spans="1:1" ht="14.25" customHeight="1">
      <c r="A920" s="3"/>
    </row>
    <row r="921" spans="1:1" ht="14.25" customHeight="1">
      <c r="A921" s="3"/>
    </row>
    <row r="922" spans="1:1" ht="14.25" customHeight="1">
      <c r="A922" s="3"/>
    </row>
    <row r="923" spans="1:1" ht="14.25" customHeight="1">
      <c r="A923" s="3"/>
    </row>
    <row r="924" spans="1:1" ht="14.25" customHeight="1">
      <c r="A924" s="3"/>
    </row>
    <row r="925" spans="1:1" ht="14.25" customHeight="1">
      <c r="A925" s="3"/>
    </row>
    <row r="926" spans="1:1" ht="14.25" customHeight="1">
      <c r="A926" s="3"/>
    </row>
    <row r="927" spans="1:1" ht="14.25" customHeight="1">
      <c r="A927" s="3"/>
    </row>
    <row r="928" spans="1:1" ht="14.25" customHeight="1">
      <c r="A928" s="3"/>
    </row>
    <row r="929" spans="1:1" ht="14.25" customHeight="1">
      <c r="A929" s="3"/>
    </row>
    <row r="930" spans="1:1" ht="14.25" customHeight="1">
      <c r="A930" s="3"/>
    </row>
    <row r="931" spans="1:1" ht="14.25" customHeight="1">
      <c r="A931" s="3"/>
    </row>
    <row r="932" spans="1:1" ht="14.25" customHeight="1">
      <c r="A932" s="3"/>
    </row>
    <row r="933" spans="1:1" ht="14.25" customHeight="1">
      <c r="A933" s="3"/>
    </row>
    <row r="934" spans="1:1" ht="14.25" customHeight="1">
      <c r="A934" s="3"/>
    </row>
    <row r="935" spans="1:1" ht="14.25" customHeight="1">
      <c r="A935" s="3"/>
    </row>
    <row r="936" spans="1:1" ht="14.25" customHeight="1">
      <c r="A936" s="3"/>
    </row>
    <row r="937" spans="1:1" ht="14.25" customHeight="1">
      <c r="A937" s="3"/>
    </row>
    <row r="938" spans="1:1" ht="14.25" customHeight="1">
      <c r="A938" s="3"/>
    </row>
    <row r="939" spans="1:1" ht="14.25" customHeight="1">
      <c r="A939" s="3"/>
    </row>
    <row r="940" spans="1:1" ht="14.25" customHeight="1">
      <c r="A940" s="3"/>
    </row>
    <row r="941" spans="1:1" ht="14.25" customHeight="1">
      <c r="A941" s="3"/>
    </row>
    <row r="942" spans="1:1" ht="14.25" customHeight="1">
      <c r="A942" s="3"/>
    </row>
    <row r="943" spans="1:1" ht="14.25" customHeight="1">
      <c r="A943" s="3"/>
    </row>
    <row r="944" spans="1:1" ht="14.25" customHeight="1">
      <c r="A944" s="3"/>
    </row>
    <row r="945" spans="1:1" ht="14.25" customHeight="1">
      <c r="A945" s="3"/>
    </row>
    <row r="946" spans="1:1" ht="14.25" customHeight="1">
      <c r="A946" s="3"/>
    </row>
    <row r="947" spans="1:1" ht="14.25" customHeight="1">
      <c r="A947" s="3"/>
    </row>
    <row r="948" spans="1:1" ht="14.25" customHeight="1">
      <c r="A948" s="3"/>
    </row>
    <row r="949" spans="1:1" ht="14.25" customHeight="1">
      <c r="A949" s="3"/>
    </row>
    <row r="950" spans="1:1" ht="14.25" customHeight="1">
      <c r="A950" s="3"/>
    </row>
    <row r="951" spans="1:1" ht="14.25" customHeight="1">
      <c r="A951" s="3"/>
    </row>
    <row r="952" spans="1:1" ht="14.25" customHeight="1">
      <c r="A952" s="3"/>
    </row>
    <row r="953" spans="1:1" ht="14.25" customHeight="1">
      <c r="A953" s="3"/>
    </row>
    <row r="954" spans="1:1" ht="14.25" customHeight="1">
      <c r="A954" s="3"/>
    </row>
    <row r="955" spans="1:1" ht="14.25" customHeight="1">
      <c r="A955" s="3"/>
    </row>
    <row r="956" spans="1:1" ht="14.25" customHeight="1">
      <c r="A956" s="3"/>
    </row>
    <row r="957" spans="1:1" ht="14.25" customHeight="1">
      <c r="A957" s="3"/>
    </row>
    <row r="958" spans="1:1" ht="14.25" customHeight="1">
      <c r="A958" s="3"/>
    </row>
    <row r="959" spans="1:1" ht="14.25" customHeight="1">
      <c r="A959" s="3"/>
    </row>
    <row r="960" spans="1:1" ht="14.25" customHeight="1">
      <c r="A960" s="3"/>
    </row>
    <row r="961" spans="1:1" ht="14.25" customHeight="1">
      <c r="A961" s="3"/>
    </row>
    <row r="962" spans="1:1" ht="14.25" customHeight="1">
      <c r="A962" s="3"/>
    </row>
    <row r="963" spans="1:1" ht="14.25" customHeight="1">
      <c r="A963" s="3"/>
    </row>
    <row r="964" spans="1:1" ht="14.25" customHeight="1">
      <c r="A964" s="3"/>
    </row>
    <row r="965" spans="1:1" ht="14.25" customHeight="1">
      <c r="A965" s="3"/>
    </row>
    <row r="966" spans="1:1" ht="14.25" customHeight="1">
      <c r="A966" s="3"/>
    </row>
    <row r="967" spans="1:1" ht="14.25" customHeight="1">
      <c r="A967" s="3"/>
    </row>
    <row r="968" spans="1:1" ht="14.25" customHeight="1">
      <c r="A968" s="3"/>
    </row>
    <row r="969" spans="1:1" ht="14.25" customHeight="1">
      <c r="A969" s="3"/>
    </row>
    <row r="970" spans="1:1" ht="14.25" customHeight="1">
      <c r="A970" s="3"/>
    </row>
    <row r="971" spans="1:1" ht="14.25" customHeight="1">
      <c r="A971" s="3"/>
    </row>
    <row r="972" spans="1:1" ht="14.25" customHeight="1">
      <c r="A972" s="3"/>
    </row>
    <row r="973" spans="1:1" ht="14.25" customHeight="1">
      <c r="A973" s="3"/>
    </row>
    <row r="974" spans="1:1" ht="14.25" customHeight="1">
      <c r="A974" s="3"/>
    </row>
    <row r="975" spans="1:1" ht="14.25" customHeight="1">
      <c r="A975" s="3"/>
    </row>
    <row r="976" spans="1:1" ht="14.25" customHeight="1">
      <c r="A976" s="3"/>
    </row>
    <row r="977" spans="1:1" ht="14.25" customHeight="1">
      <c r="A977" s="3"/>
    </row>
    <row r="978" spans="1:1" ht="14.25" customHeight="1">
      <c r="A978" s="3"/>
    </row>
    <row r="979" spans="1:1" ht="14.25" customHeight="1">
      <c r="A979" s="3"/>
    </row>
    <row r="980" spans="1:1" ht="14.25" customHeight="1">
      <c r="A980" s="3"/>
    </row>
    <row r="981" spans="1:1" ht="14.25" customHeight="1">
      <c r="A981" s="3"/>
    </row>
    <row r="982" spans="1:1" ht="14.25" customHeight="1">
      <c r="A982" s="3"/>
    </row>
    <row r="983" spans="1:1" ht="14.25" customHeight="1">
      <c r="A983" s="3"/>
    </row>
    <row r="984" spans="1:1" ht="14.25" customHeight="1">
      <c r="A984" s="3"/>
    </row>
    <row r="985" spans="1:1" ht="14.25" customHeight="1">
      <c r="A985" s="3"/>
    </row>
    <row r="986" spans="1:1" ht="14.25" customHeight="1">
      <c r="A986" s="3"/>
    </row>
    <row r="987" spans="1:1" ht="14.25" customHeight="1">
      <c r="A987" s="3"/>
    </row>
    <row r="988" spans="1:1" ht="14.25" customHeight="1">
      <c r="A988" s="3"/>
    </row>
    <row r="989" spans="1:1" ht="14.25" customHeight="1">
      <c r="A989" s="3"/>
    </row>
    <row r="990" spans="1:1" ht="14.25" customHeight="1">
      <c r="A990" s="3"/>
    </row>
    <row r="991" spans="1:1" ht="14.25" customHeight="1">
      <c r="A991" s="3"/>
    </row>
    <row r="992" spans="1:1" ht="14.25" customHeight="1">
      <c r="A992" s="3"/>
    </row>
    <row r="993" spans="1:1" ht="14.25" customHeight="1">
      <c r="A993" s="3"/>
    </row>
    <row r="994" spans="1:1" ht="14.25" customHeight="1">
      <c r="A994" s="3"/>
    </row>
    <row r="995" spans="1:1" ht="14.25" customHeight="1">
      <c r="A995" s="3"/>
    </row>
    <row r="996" spans="1:1" ht="14.25" customHeight="1">
      <c r="A996" s="3"/>
    </row>
    <row r="997" spans="1:1" ht="14.25" customHeight="1">
      <c r="A997" s="3"/>
    </row>
    <row r="998" spans="1:1" ht="14.25" customHeight="1">
      <c r="A998" s="3"/>
    </row>
    <row r="999" spans="1:1" ht="14.25" customHeight="1">
      <c r="A999" s="3"/>
    </row>
    <row r="1000" spans="1:1" ht="14.25" customHeight="1">
      <c r="A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7"/>
  <sheetViews>
    <sheetView tabSelected="1" workbookViewId="0">
      <selection activeCell="B13" sqref="B13"/>
    </sheetView>
  </sheetViews>
  <sheetFormatPr baseColWidth="10" defaultColWidth="14.5" defaultRowHeight="15" customHeight="1"/>
  <sheetData>
    <row r="1" spans="1:5">
      <c r="A1" s="77" t="s">
        <v>169</v>
      </c>
      <c r="B1" s="77" t="s">
        <v>170</v>
      </c>
      <c r="C1" s="77" t="s">
        <v>171</v>
      </c>
      <c r="D1" s="77" t="s">
        <v>172</v>
      </c>
      <c r="E1" s="75" t="s">
        <v>173</v>
      </c>
    </row>
    <row r="2" spans="1:5">
      <c r="A2" s="78" t="s">
        <v>174</v>
      </c>
      <c r="B2" s="79">
        <f>(4/0.01)*10^2</f>
        <v>40000</v>
      </c>
      <c r="C2" s="79">
        <f>(9/0.025)*10^2</f>
        <v>36000</v>
      </c>
      <c r="D2" s="77" t="s">
        <v>126</v>
      </c>
      <c r="E2" s="78" t="s">
        <v>175</v>
      </c>
    </row>
    <row r="3" spans="1:5">
      <c r="A3" s="78" t="s">
        <v>176</v>
      </c>
      <c r="B3" s="79">
        <f>(3/0.05)*10^6</f>
        <v>60000000</v>
      </c>
      <c r="C3" s="80">
        <v>100</v>
      </c>
      <c r="D3" s="77" t="s">
        <v>126</v>
      </c>
      <c r="E3" s="78" t="s">
        <v>177</v>
      </c>
    </row>
    <row r="4" spans="1:5">
      <c r="A4" s="78" t="s">
        <v>178</v>
      </c>
      <c r="B4" s="80">
        <f>36/0.01</f>
        <v>3600</v>
      </c>
      <c r="C4" s="79">
        <f>(5/0.025)*10^2</f>
        <v>20000</v>
      </c>
      <c r="D4" s="77" t="s">
        <v>126</v>
      </c>
      <c r="E4" s="78" t="s">
        <v>175</v>
      </c>
    </row>
    <row r="5" spans="1:5">
      <c r="A5" s="78" t="s">
        <v>179</v>
      </c>
      <c r="B5" s="79">
        <f>(3/0.05)*10^6</f>
        <v>60000000</v>
      </c>
      <c r="C5" s="80">
        <v>100</v>
      </c>
      <c r="D5" s="77" t="s">
        <v>126</v>
      </c>
      <c r="E5" s="78" t="s">
        <v>177</v>
      </c>
    </row>
    <row r="6" spans="1:5">
      <c r="A6" s="79" t="s">
        <v>16</v>
      </c>
      <c r="B6" s="80"/>
      <c r="C6" s="79">
        <f>(4/0.05)*10^4</f>
        <v>800000</v>
      </c>
      <c r="D6" s="77" t="s">
        <v>126</v>
      </c>
      <c r="E6" s="79" t="s">
        <v>175</v>
      </c>
    </row>
    <row r="7" spans="1:5">
      <c r="A7" s="79" t="s">
        <v>16</v>
      </c>
      <c r="B7" s="79">
        <f>(3/0.05)*10^6</f>
        <v>60000000</v>
      </c>
      <c r="C7" s="79">
        <v>14400</v>
      </c>
      <c r="D7" s="77" t="s">
        <v>126</v>
      </c>
      <c r="E7" s="79" t="s">
        <v>177</v>
      </c>
    </row>
    <row r="8" spans="1:5">
      <c r="A8" s="77" t="s">
        <v>17</v>
      </c>
      <c r="B8" s="79">
        <f>(5/0.05)*10^4</f>
        <v>1000000</v>
      </c>
      <c r="C8" s="79">
        <f>(32/0.05)*10^4</f>
        <v>6400000</v>
      </c>
      <c r="D8" s="77" t="s">
        <v>126</v>
      </c>
      <c r="E8" s="78" t="s">
        <v>175</v>
      </c>
    </row>
    <row r="9" spans="1:5">
      <c r="A9" s="77" t="s">
        <v>17</v>
      </c>
      <c r="B9" s="79">
        <f>(3/0.05)*10^6</f>
        <v>60000000</v>
      </c>
      <c r="C9" s="79">
        <v>14300</v>
      </c>
      <c r="D9" s="77" t="s">
        <v>126</v>
      </c>
      <c r="E9" s="78" t="s">
        <v>177</v>
      </c>
    </row>
    <row r="10" spans="1:5">
      <c r="A10" s="78" t="s">
        <v>180</v>
      </c>
      <c r="B10" s="80">
        <f>(38/0.01)</f>
        <v>3800</v>
      </c>
      <c r="C10" s="80">
        <f>(19/0.01)</f>
        <v>1900</v>
      </c>
      <c r="D10" s="77" t="s">
        <v>122</v>
      </c>
      <c r="E10" s="78" t="s">
        <v>175</v>
      </c>
    </row>
    <row r="11" spans="1:5">
      <c r="A11" s="78" t="s">
        <v>181</v>
      </c>
      <c r="B11" s="79">
        <f>(131/0.025)*10^6</f>
        <v>5240000000</v>
      </c>
      <c r="C11" s="80">
        <v>100</v>
      </c>
      <c r="D11" s="77" t="s">
        <v>122</v>
      </c>
      <c r="E11" s="78" t="s">
        <v>177</v>
      </c>
    </row>
    <row r="12" spans="1:5">
      <c r="A12" s="78" t="s">
        <v>182</v>
      </c>
      <c r="B12" s="79"/>
      <c r="C12" s="80">
        <f>1/0.01</f>
        <v>100</v>
      </c>
      <c r="D12" s="77" t="s">
        <v>139</v>
      </c>
      <c r="E12" s="78" t="s">
        <v>175</v>
      </c>
    </row>
    <row r="13" spans="1:5">
      <c r="A13" s="78" t="s">
        <v>182</v>
      </c>
      <c r="B13" s="79">
        <f>(10/0.025)*10^6</f>
        <v>400000000</v>
      </c>
      <c r="C13" s="78">
        <v>1</v>
      </c>
      <c r="D13" s="77" t="s">
        <v>139</v>
      </c>
      <c r="E13" s="78" t="s">
        <v>177</v>
      </c>
    </row>
    <row r="14" spans="1:5">
      <c r="A14" s="78" t="s">
        <v>183</v>
      </c>
      <c r="B14" s="79">
        <f>(34/0.01)*10^2</f>
        <v>340000</v>
      </c>
      <c r="C14" s="79">
        <f>(50/0.01)*10^2</f>
        <v>500000</v>
      </c>
      <c r="D14" s="77" t="s">
        <v>134</v>
      </c>
      <c r="E14" s="78" t="s">
        <v>175</v>
      </c>
    </row>
    <row r="15" spans="1:5">
      <c r="A15" s="78" t="s">
        <v>184</v>
      </c>
      <c r="B15" s="79">
        <f>(9/0.025)*10^4</f>
        <v>3600000</v>
      </c>
      <c r="C15" s="80">
        <f>300</f>
        <v>300</v>
      </c>
      <c r="D15" s="77" t="s">
        <v>134</v>
      </c>
      <c r="E15" s="78" t="s">
        <v>177</v>
      </c>
    </row>
    <row r="16" spans="1:5">
      <c r="A16" s="78" t="s">
        <v>153</v>
      </c>
      <c r="B16" s="79">
        <f>(40/0.01)*10^2</f>
        <v>400000</v>
      </c>
      <c r="C16" s="79">
        <f>(3/0.05)*10^4</f>
        <v>600000</v>
      </c>
      <c r="D16" s="77" t="s">
        <v>134</v>
      </c>
      <c r="E16" s="79" t="s">
        <v>175</v>
      </c>
    </row>
    <row r="17" spans="1:5">
      <c r="A17" s="78" t="s">
        <v>153</v>
      </c>
      <c r="B17" s="79">
        <f>(9/0.025)*10^4</f>
        <v>3600000</v>
      </c>
      <c r="C17" s="80">
        <v>100</v>
      </c>
      <c r="D17" s="77" t="s">
        <v>134</v>
      </c>
      <c r="E17" s="79" t="s">
        <v>177</v>
      </c>
    </row>
    <row r="18" spans="1:5">
      <c r="A18" s="78" t="s">
        <v>185</v>
      </c>
      <c r="B18" s="80">
        <f>27/0.05</f>
        <v>540</v>
      </c>
      <c r="C18" s="79">
        <f>(9/0.05)*10^2</f>
        <v>18000</v>
      </c>
      <c r="D18" s="77" t="s">
        <v>123</v>
      </c>
      <c r="E18" s="78" t="s">
        <v>175</v>
      </c>
    </row>
    <row r="19" spans="1:5">
      <c r="A19" s="78" t="s">
        <v>185</v>
      </c>
      <c r="B19" s="79">
        <f>(21/0.025)*10^4</f>
        <v>8400000</v>
      </c>
      <c r="C19" s="80">
        <f>1500</f>
        <v>1500</v>
      </c>
      <c r="D19" s="77" t="s">
        <v>123</v>
      </c>
      <c r="E19" s="78" t="s">
        <v>177</v>
      </c>
    </row>
    <row r="20" spans="1:5">
      <c r="A20" s="78" t="s">
        <v>186</v>
      </c>
      <c r="B20" s="79">
        <f>(1/0.01)*10^2</f>
        <v>10000</v>
      </c>
      <c r="C20" s="79">
        <f>(3/0.01)*10^2</f>
        <v>30000</v>
      </c>
      <c r="D20" s="77" t="s">
        <v>123</v>
      </c>
      <c r="E20" s="78" t="s">
        <v>175</v>
      </c>
    </row>
    <row r="21" spans="1:5">
      <c r="A21" s="78" t="s">
        <v>187</v>
      </c>
      <c r="B21" s="79">
        <f>(21/0.025)*10^4</f>
        <v>8400000</v>
      </c>
      <c r="C21" s="80">
        <v>200</v>
      </c>
      <c r="D21" s="77" t="s">
        <v>123</v>
      </c>
      <c r="E21" s="78" t="s">
        <v>177</v>
      </c>
    </row>
    <row r="22" spans="1:5">
      <c r="A22" s="78" t="s">
        <v>188</v>
      </c>
      <c r="B22" s="79">
        <f>(46/0.05)*10^2</f>
        <v>92000</v>
      </c>
      <c r="C22" s="79">
        <f>(43/0.05)*10^2</f>
        <v>86000</v>
      </c>
      <c r="D22" s="77" t="s">
        <v>127</v>
      </c>
      <c r="E22" s="78" t="s">
        <v>175</v>
      </c>
    </row>
    <row r="23" spans="1:5">
      <c r="A23" s="78" t="s">
        <v>188</v>
      </c>
      <c r="B23" s="79">
        <f>(51/0.05)*10^6</f>
        <v>1020000000</v>
      </c>
      <c r="C23" s="78">
        <v>600</v>
      </c>
      <c r="D23" s="77" t="s">
        <v>127</v>
      </c>
      <c r="E23" s="78" t="s">
        <v>177</v>
      </c>
    </row>
    <row r="24" spans="1:5">
      <c r="A24" s="78" t="s">
        <v>19</v>
      </c>
      <c r="B24" s="79">
        <f>(8/0.01)*10^2</f>
        <v>80000</v>
      </c>
      <c r="C24" s="79">
        <f>(23/0.01)*10^2</f>
        <v>230000</v>
      </c>
      <c r="D24" s="77" t="s">
        <v>127</v>
      </c>
      <c r="E24" s="78" t="s">
        <v>175</v>
      </c>
    </row>
    <row r="25" spans="1:5">
      <c r="A25" s="78" t="s">
        <v>19</v>
      </c>
      <c r="B25" s="79">
        <f>(51/0.05)*10^6</f>
        <v>1020000000</v>
      </c>
      <c r="C25" s="78">
        <f>900</f>
        <v>900</v>
      </c>
      <c r="D25" s="77" t="s">
        <v>127</v>
      </c>
      <c r="E25" s="78" t="s">
        <v>177</v>
      </c>
    </row>
    <row r="26" spans="1:5">
      <c r="A26" s="77" t="s">
        <v>20</v>
      </c>
      <c r="B26" s="79">
        <f>(2/0.01)*10^2</f>
        <v>20000</v>
      </c>
      <c r="C26" s="79">
        <f>(5/0.01)*10^2</f>
        <v>50000</v>
      </c>
      <c r="D26" s="77" t="s">
        <v>127</v>
      </c>
      <c r="E26" s="79" t="s">
        <v>175</v>
      </c>
    </row>
    <row r="27" spans="1:5">
      <c r="A27" s="77" t="s">
        <v>20</v>
      </c>
      <c r="B27" s="79">
        <f>(51/0.05)*10^6</f>
        <v>1020000000</v>
      </c>
      <c r="C27" s="78">
        <f>500</f>
        <v>500</v>
      </c>
      <c r="D27" s="77" t="s">
        <v>127</v>
      </c>
      <c r="E27" s="79" t="s">
        <v>177</v>
      </c>
    </row>
    <row r="28" spans="1:5">
      <c r="A28" s="78" t="s">
        <v>189</v>
      </c>
      <c r="B28" s="79">
        <f>(9/0.01)*10^2</f>
        <v>90000</v>
      </c>
      <c r="C28" s="79">
        <f>(16/0.01)*10^2</f>
        <v>160000</v>
      </c>
      <c r="D28" s="77" t="s">
        <v>137</v>
      </c>
      <c r="E28" s="78" t="s">
        <v>175</v>
      </c>
    </row>
    <row r="29" spans="1:5">
      <c r="A29" s="78" t="s">
        <v>189</v>
      </c>
      <c r="B29" s="79">
        <f>(5/0.025)*10^6</f>
        <v>200000000</v>
      </c>
      <c r="C29" s="80">
        <v>400</v>
      </c>
      <c r="D29" s="77" t="s">
        <v>137</v>
      </c>
      <c r="E29" s="78" t="s">
        <v>177</v>
      </c>
    </row>
    <row r="30" spans="1:5">
      <c r="A30" s="77" t="s">
        <v>27</v>
      </c>
      <c r="B30" s="79">
        <f>(26/0.01)*10^2</f>
        <v>260000</v>
      </c>
      <c r="C30" s="79">
        <f>(20/0.01)*10^2</f>
        <v>200000</v>
      </c>
      <c r="D30" s="77" t="s">
        <v>137</v>
      </c>
      <c r="E30" s="78" t="s">
        <v>175</v>
      </c>
    </row>
    <row r="31" spans="1:5">
      <c r="A31" s="77" t="s">
        <v>27</v>
      </c>
      <c r="B31" s="79">
        <f>(5/0.025)*10^6</f>
        <v>200000000</v>
      </c>
      <c r="C31" s="80">
        <v>300</v>
      </c>
      <c r="D31" s="77" t="s">
        <v>137</v>
      </c>
      <c r="E31" s="78" t="s">
        <v>177</v>
      </c>
    </row>
    <row r="32" spans="1:5">
      <c r="A32" s="78" t="s">
        <v>167</v>
      </c>
      <c r="B32" s="80">
        <f>(3/0.05)*10^2</f>
        <v>6000</v>
      </c>
      <c r="C32" s="80">
        <f>122/0.05</f>
        <v>2440</v>
      </c>
      <c r="D32" s="77" t="s">
        <v>121</v>
      </c>
      <c r="E32" s="78" t="s">
        <v>175</v>
      </c>
    </row>
    <row r="33" spans="1:5">
      <c r="A33" s="78" t="s">
        <v>167</v>
      </c>
      <c r="B33" s="79">
        <f>(36/0.025)*10^6</f>
        <v>1440000000</v>
      </c>
      <c r="C33" s="80">
        <v>500</v>
      </c>
      <c r="D33" s="77" t="s">
        <v>121</v>
      </c>
      <c r="E33" s="78" t="s">
        <v>177</v>
      </c>
    </row>
    <row r="34" spans="1:5">
      <c r="A34" s="77" t="s">
        <v>24</v>
      </c>
      <c r="B34" s="79">
        <f>(5/0.05)*10^2</f>
        <v>10000</v>
      </c>
      <c r="C34" s="80">
        <f>(2/0.05)*10^2</f>
        <v>4000</v>
      </c>
      <c r="D34" s="77" t="s">
        <v>121</v>
      </c>
      <c r="E34" s="78" t="s">
        <v>175</v>
      </c>
    </row>
    <row r="35" spans="1:5">
      <c r="A35" s="77" t="s">
        <v>24</v>
      </c>
      <c r="B35" s="79">
        <f>(36/0.025)*10^6</f>
        <v>1440000000</v>
      </c>
      <c r="C35" s="80">
        <v>100</v>
      </c>
      <c r="D35" s="77" t="s">
        <v>121</v>
      </c>
      <c r="E35" s="78" t="s">
        <v>177</v>
      </c>
    </row>
    <row r="36" spans="1:5">
      <c r="A36" s="77" t="s">
        <v>25</v>
      </c>
      <c r="B36" s="79">
        <f>(116/0.05)*10^2</f>
        <v>232000</v>
      </c>
      <c r="C36" s="79">
        <f>(2/0.05)*10^4</f>
        <v>400000</v>
      </c>
      <c r="D36" s="77" t="s">
        <v>121</v>
      </c>
      <c r="E36" s="79" t="s">
        <v>175</v>
      </c>
    </row>
    <row r="37" spans="1:5">
      <c r="A37" s="77" t="s">
        <v>25</v>
      </c>
      <c r="B37" s="79">
        <f>(36/0.025)*10^6</f>
        <v>1440000000</v>
      </c>
      <c r="C37" s="80">
        <v>200</v>
      </c>
      <c r="D37" s="77" t="s">
        <v>121</v>
      </c>
      <c r="E37" s="79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71"/>
  <sheetViews>
    <sheetView workbookViewId="0">
      <selection activeCell="F3" sqref="F3"/>
    </sheetView>
  </sheetViews>
  <sheetFormatPr baseColWidth="10" defaultColWidth="14.5" defaultRowHeight="15" customHeight="1"/>
  <sheetData>
    <row r="1" spans="1:8">
      <c r="A1" s="81" t="s">
        <v>169</v>
      </c>
      <c r="B1" s="81" t="s">
        <v>170</v>
      </c>
      <c r="C1" s="81" t="s">
        <v>171</v>
      </c>
      <c r="D1" s="81" t="s">
        <v>172</v>
      </c>
      <c r="E1" s="81" t="s">
        <v>173</v>
      </c>
      <c r="F1" s="81" t="s">
        <v>190</v>
      </c>
      <c r="G1" s="81" t="s">
        <v>191</v>
      </c>
      <c r="H1" s="81" t="s">
        <v>192</v>
      </c>
    </row>
    <row r="2" spans="1:8">
      <c r="A2" s="3" t="s">
        <v>193</v>
      </c>
      <c r="B2" s="55">
        <f>(3/0.05)*10^6</f>
        <v>60000000</v>
      </c>
      <c r="C2" s="56">
        <v>100</v>
      </c>
      <c r="D2" s="81" t="s">
        <v>126</v>
      </c>
      <c r="E2" s="3" t="s">
        <v>177</v>
      </c>
      <c r="F2" s="82">
        <f t="shared" ref="F2:F65" si="0">C2/B2</f>
        <v>1.6666666666666667E-6</v>
      </c>
      <c r="G2" s="83">
        <f t="shared" ref="G2:G65" si="1">LOG(F2)</f>
        <v>-5.7781512503836439</v>
      </c>
      <c r="H2" s="83">
        <f>G$2-G2</f>
        <v>0</v>
      </c>
    </row>
    <row r="3" spans="1:8">
      <c r="A3" s="3" t="s">
        <v>194</v>
      </c>
      <c r="B3" s="55">
        <f>(21/0.025)*10^4</f>
        <v>8400000</v>
      </c>
      <c r="C3" s="81">
        <v>100</v>
      </c>
      <c r="D3" s="81" t="s">
        <v>123</v>
      </c>
      <c r="E3" s="81" t="s">
        <v>177</v>
      </c>
      <c r="F3" s="82">
        <f t="shared" si="0"/>
        <v>1.1904761904761905E-5</v>
      </c>
      <c r="G3" s="83">
        <f t="shared" si="1"/>
        <v>-4.924279286061882</v>
      </c>
      <c r="H3" s="83">
        <f t="shared" ref="H2:H4" si="2">G$2-G3</f>
        <v>-0.85387196432176182</v>
      </c>
    </row>
    <row r="4" spans="1:8">
      <c r="A4" s="3" t="s">
        <v>195</v>
      </c>
      <c r="B4" s="55">
        <f>(51/0.05)*10^6</f>
        <v>1020000000</v>
      </c>
      <c r="C4" s="81">
        <v>400</v>
      </c>
      <c r="D4" s="81" t="s">
        <v>127</v>
      </c>
      <c r="E4" s="81" t="s">
        <v>177</v>
      </c>
      <c r="F4" s="82">
        <f t="shared" si="0"/>
        <v>3.9215686274509802E-7</v>
      </c>
      <c r="G4" s="83">
        <f t="shared" si="1"/>
        <v>-6.4065401804339555</v>
      </c>
      <c r="H4" s="83">
        <f t="shared" si="2"/>
        <v>0.6283889300503116</v>
      </c>
    </row>
    <row r="5" spans="1:8">
      <c r="A5" s="3" t="s">
        <v>196</v>
      </c>
      <c r="B5" s="55">
        <f>(3/0.05)*10^6</f>
        <v>60000000</v>
      </c>
      <c r="C5" s="56">
        <v>100</v>
      </c>
      <c r="D5" s="81" t="s">
        <v>126</v>
      </c>
      <c r="E5" s="3" t="s">
        <v>177</v>
      </c>
      <c r="F5" s="82">
        <f t="shared" si="0"/>
        <v>1.6666666666666667E-6</v>
      </c>
      <c r="G5" s="83">
        <f t="shared" si="1"/>
        <v>-5.7781512503836439</v>
      </c>
      <c r="H5" s="83">
        <f t="shared" ref="H5:H7" si="3">G$5-G5</f>
        <v>0</v>
      </c>
    </row>
    <row r="6" spans="1:8">
      <c r="A6" s="3" t="s">
        <v>197</v>
      </c>
      <c r="B6" s="55">
        <f>(21/0.025)*10^4</f>
        <v>8400000</v>
      </c>
      <c r="C6" s="56">
        <v>200</v>
      </c>
      <c r="D6" s="81" t="s">
        <v>123</v>
      </c>
      <c r="E6" s="81" t="s">
        <v>177</v>
      </c>
      <c r="F6" s="82">
        <f t="shared" si="0"/>
        <v>2.380952380952381E-5</v>
      </c>
      <c r="G6" s="83">
        <f t="shared" si="1"/>
        <v>-4.6232492903979008</v>
      </c>
      <c r="H6" s="83">
        <f t="shared" si="3"/>
        <v>-1.1549019599857431</v>
      </c>
    </row>
    <row r="7" spans="1:8">
      <c r="A7" s="3" t="s">
        <v>198</v>
      </c>
      <c r="B7" s="55">
        <f>(51/0.05)*10^6</f>
        <v>1020000000</v>
      </c>
      <c r="C7" s="56">
        <v>600</v>
      </c>
      <c r="D7" s="81" t="s">
        <v>127</v>
      </c>
      <c r="E7" s="3" t="s">
        <v>177</v>
      </c>
      <c r="F7" s="82">
        <f t="shared" si="0"/>
        <v>5.8823529411764701E-7</v>
      </c>
      <c r="G7" s="83">
        <f t="shared" si="1"/>
        <v>-6.2304489213782741</v>
      </c>
      <c r="H7" s="83">
        <f t="shared" si="3"/>
        <v>0.45229767099463025</v>
      </c>
    </row>
    <row r="8" spans="1:8">
      <c r="A8" s="55" t="s">
        <v>16</v>
      </c>
      <c r="B8" s="55">
        <f>(3/0.05)*10^6</f>
        <v>60000000</v>
      </c>
      <c r="C8" s="55">
        <v>14400</v>
      </c>
      <c r="D8" s="81" t="s">
        <v>126</v>
      </c>
      <c r="E8" s="55" t="s">
        <v>177</v>
      </c>
      <c r="F8" s="82">
        <f t="shared" si="0"/>
        <v>2.4000000000000001E-4</v>
      </c>
      <c r="G8" s="83">
        <f t="shared" si="1"/>
        <v>-3.6197887582883941</v>
      </c>
      <c r="H8" s="83">
        <f t="shared" ref="H8:H9" si="4">G$8-G8</f>
        <v>0</v>
      </c>
    </row>
    <row r="9" spans="1:8">
      <c r="A9" s="55" t="s">
        <v>16</v>
      </c>
      <c r="B9" s="55">
        <f>(21/0.025)*10^4</f>
        <v>8400000</v>
      </c>
      <c r="C9" s="81">
        <v>700</v>
      </c>
      <c r="D9" s="81" t="s">
        <v>123</v>
      </c>
      <c r="E9" s="81" t="s">
        <v>177</v>
      </c>
      <c r="F9" s="82">
        <f t="shared" si="0"/>
        <v>8.3333333333333331E-5</v>
      </c>
      <c r="G9" s="83">
        <f t="shared" si="1"/>
        <v>-4.0791812460476251</v>
      </c>
      <c r="H9" s="83">
        <f t="shared" si="4"/>
        <v>0.45939248775923103</v>
      </c>
    </row>
    <row r="10" spans="1:8">
      <c r="A10" s="81" t="s">
        <v>17</v>
      </c>
      <c r="B10" s="55">
        <f>(3/0.05)*10^6</f>
        <v>60000000</v>
      </c>
      <c r="C10" s="55">
        <v>14300</v>
      </c>
      <c r="D10" s="81" t="s">
        <v>126</v>
      </c>
      <c r="E10" s="3" t="s">
        <v>177</v>
      </c>
      <c r="F10" s="82">
        <f t="shared" si="0"/>
        <v>2.3833333333333334E-4</v>
      </c>
      <c r="G10" s="83">
        <f t="shared" si="1"/>
        <v>-3.622815212918582</v>
      </c>
      <c r="H10" s="83">
        <f t="shared" ref="H10:H12" si="5">G$10-G10</f>
        <v>0</v>
      </c>
    </row>
    <row r="11" spans="1:8">
      <c r="A11" s="81" t="s">
        <v>17</v>
      </c>
      <c r="B11" s="55">
        <f>(21/0.025)*10^4</f>
        <v>8400000</v>
      </c>
      <c r="C11" s="56">
        <v>600</v>
      </c>
      <c r="D11" s="81" t="s">
        <v>123</v>
      </c>
      <c r="E11" s="81" t="s">
        <v>177</v>
      </c>
      <c r="F11" s="82">
        <f t="shared" si="0"/>
        <v>7.1428571428571434E-5</v>
      </c>
      <c r="G11" s="83">
        <f t="shared" si="1"/>
        <v>-4.1461280356782382</v>
      </c>
      <c r="H11" s="83">
        <f t="shared" si="5"/>
        <v>0.52331282275965618</v>
      </c>
    </row>
    <row r="12" spans="1:8">
      <c r="A12" s="81" t="s">
        <v>17</v>
      </c>
      <c r="B12" s="55">
        <f>(51/0.05)*10^6</f>
        <v>1020000000</v>
      </c>
      <c r="C12" s="56">
        <v>100</v>
      </c>
      <c r="D12" s="81" t="s">
        <v>127</v>
      </c>
      <c r="E12" s="81" t="s">
        <v>177</v>
      </c>
      <c r="F12" s="82">
        <f t="shared" si="0"/>
        <v>9.8039215686274506E-8</v>
      </c>
      <c r="G12" s="83">
        <f t="shared" si="1"/>
        <v>-7.008600171761918</v>
      </c>
      <c r="H12" s="83">
        <f t="shared" si="5"/>
        <v>3.385784958843336</v>
      </c>
    </row>
    <row r="13" spans="1:8">
      <c r="A13" s="3" t="s">
        <v>199</v>
      </c>
      <c r="B13" s="55">
        <f>(131/0.025)*10^6</f>
        <v>5240000000</v>
      </c>
      <c r="C13" s="56">
        <v>100</v>
      </c>
      <c r="D13" s="81" t="s">
        <v>122</v>
      </c>
      <c r="E13" s="3" t="s">
        <v>177</v>
      </c>
      <c r="F13" s="82">
        <f t="shared" si="0"/>
        <v>1.9083969465648856E-8</v>
      </c>
      <c r="G13" s="83">
        <f t="shared" si="1"/>
        <v>-7.7193312869837269</v>
      </c>
      <c r="H13" s="83">
        <f t="shared" ref="H13:H16" si="6">G$13-G13</f>
        <v>0</v>
      </c>
    </row>
    <row r="14" spans="1:8">
      <c r="A14" s="3" t="s">
        <v>200</v>
      </c>
      <c r="B14" s="55">
        <f>(9/0.025)*10^4</f>
        <v>3600000</v>
      </c>
      <c r="C14" s="3">
        <f>500</f>
        <v>500</v>
      </c>
      <c r="D14" s="81" t="s">
        <v>134</v>
      </c>
      <c r="E14" s="3" t="s">
        <v>177</v>
      </c>
      <c r="F14" s="82">
        <f t="shared" si="0"/>
        <v>1.3888888888888889E-4</v>
      </c>
      <c r="G14" s="83">
        <f t="shared" si="1"/>
        <v>-3.8573324964312685</v>
      </c>
      <c r="H14" s="83">
        <f t="shared" si="6"/>
        <v>-3.8619987905524584</v>
      </c>
    </row>
    <row r="15" spans="1:8">
      <c r="A15" s="3" t="s">
        <v>201</v>
      </c>
      <c r="B15" s="55">
        <f>(5/0.025)*10^6</f>
        <v>200000000</v>
      </c>
      <c r="C15" s="56">
        <v>100</v>
      </c>
      <c r="D15" s="81" t="s">
        <v>137</v>
      </c>
      <c r="E15" s="81" t="s">
        <v>177</v>
      </c>
      <c r="F15" s="82">
        <f t="shared" si="0"/>
        <v>4.9999999999999998E-7</v>
      </c>
      <c r="G15" s="83">
        <f t="shared" si="1"/>
        <v>-6.3010299956639813</v>
      </c>
      <c r="H15" s="83">
        <f t="shared" si="6"/>
        <v>-1.4183012913197457</v>
      </c>
    </row>
    <row r="16" spans="1:8">
      <c r="A16" s="3" t="s">
        <v>202</v>
      </c>
      <c r="B16" s="55">
        <f>(21/0.025)*10^4</f>
        <v>8400000</v>
      </c>
      <c r="C16" s="55">
        <f>15800</f>
        <v>15800</v>
      </c>
      <c r="D16" s="81" t="s">
        <v>123</v>
      </c>
      <c r="E16" s="81" t="s">
        <v>177</v>
      </c>
      <c r="F16" s="82">
        <f t="shared" si="0"/>
        <v>1.8809523809523809E-3</v>
      </c>
      <c r="G16" s="83">
        <f t="shared" si="1"/>
        <v>-2.725622199107459</v>
      </c>
      <c r="H16" s="83">
        <f t="shared" si="6"/>
        <v>-4.993709087876268</v>
      </c>
    </row>
    <row r="17" spans="1:8">
      <c r="A17" s="3" t="s">
        <v>140</v>
      </c>
      <c r="B17" s="55">
        <f>(131/0.025)*10^6</f>
        <v>5240000000</v>
      </c>
      <c r="C17" s="3">
        <v>1</v>
      </c>
      <c r="D17" s="81" t="s">
        <v>122</v>
      </c>
      <c r="E17" s="3" t="s">
        <v>177</v>
      </c>
      <c r="F17" s="82">
        <f t="shared" si="0"/>
        <v>1.9083969465648856E-10</v>
      </c>
      <c r="G17" s="83">
        <f t="shared" si="1"/>
        <v>-9.7193312869837261</v>
      </c>
      <c r="H17" s="83">
        <f t="shared" ref="H17:H19" si="7">G$17-G17</f>
        <v>0</v>
      </c>
    </row>
    <row r="18" spans="1:8">
      <c r="A18" s="3" t="s">
        <v>140</v>
      </c>
      <c r="B18" s="55">
        <f>(5/0.025)*10^6</f>
        <v>200000000</v>
      </c>
      <c r="C18" s="55">
        <v>200</v>
      </c>
      <c r="D18" s="3" t="s">
        <v>137</v>
      </c>
      <c r="E18" s="3" t="s">
        <v>177</v>
      </c>
      <c r="F18" s="82">
        <f t="shared" si="0"/>
        <v>9.9999999999999995E-7</v>
      </c>
      <c r="G18" s="83">
        <f t="shared" si="1"/>
        <v>-6</v>
      </c>
      <c r="H18" s="83">
        <f t="shared" si="7"/>
        <v>-3.7193312869837261</v>
      </c>
    </row>
    <row r="19" spans="1:8">
      <c r="A19" s="3" t="s">
        <v>140</v>
      </c>
      <c r="B19" s="55">
        <f>(10/0.025)*10^6</f>
        <v>400000000</v>
      </c>
      <c r="C19" s="55">
        <v>200</v>
      </c>
      <c r="D19" s="3" t="s">
        <v>139</v>
      </c>
      <c r="E19" s="81" t="s">
        <v>177</v>
      </c>
      <c r="F19" s="82">
        <f t="shared" si="0"/>
        <v>4.9999999999999998E-7</v>
      </c>
      <c r="G19" s="83">
        <f t="shared" si="1"/>
        <v>-6.3010299956639813</v>
      </c>
      <c r="H19" s="83">
        <f t="shared" si="7"/>
        <v>-3.4183012913197448</v>
      </c>
    </row>
    <row r="20" spans="1:8">
      <c r="A20" s="3" t="s">
        <v>31</v>
      </c>
      <c r="B20" s="55">
        <f>(131/0.025)*10^6</f>
        <v>5240000000</v>
      </c>
      <c r="C20" s="3">
        <v>1</v>
      </c>
      <c r="D20" s="81" t="s">
        <v>122</v>
      </c>
      <c r="E20" s="3" t="s">
        <v>177</v>
      </c>
      <c r="F20" s="82">
        <f t="shared" si="0"/>
        <v>1.9083969465648856E-10</v>
      </c>
      <c r="G20" s="83">
        <f t="shared" si="1"/>
        <v>-9.7193312869837261</v>
      </c>
      <c r="H20" s="83">
        <f t="shared" ref="H20:H22" si="8">G$20-G20</f>
        <v>0</v>
      </c>
    </row>
    <row r="21" spans="1:8">
      <c r="A21" s="3" t="s">
        <v>31</v>
      </c>
      <c r="B21" s="55">
        <f>(21/0.025)*10^4</f>
        <v>8400000</v>
      </c>
      <c r="C21" s="55">
        <v>86000</v>
      </c>
      <c r="D21" s="3" t="s">
        <v>123</v>
      </c>
      <c r="E21" s="3" t="s">
        <v>177</v>
      </c>
      <c r="F21" s="82">
        <f t="shared" si="0"/>
        <v>1.0238095238095239E-2</v>
      </c>
      <c r="G21" s="83">
        <f t="shared" si="1"/>
        <v>-1.9897808348183139</v>
      </c>
      <c r="H21" s="83">
        <f t="shared" si="8"/>
        <v>-7.7295504521654124</v>
      </c>
    </row>
    <row r="22" spans="1:8">
      <c r="A22" s="3" t="s">
        <v>31</v>
      </c>
      <c r="B22" s="55">
        <f>(36/0.025)*10^6</f>
        <v>1440000000</v>
      </c>
      <c r="C22" s="56">
        <v>1100</v>
      </c>
      <c r="D22" s="3" t="s">
        <v>121</v>
      </c>
      <c r="E22" s="3" t="s">
        <v>177</v>
      </c>
      <c r="F22" s="82">
        <f t="shared" si="0"/>
        <v>7.638888888888889E-7</v>
      </c>
      <c r="G22" s="83">
        <f t="shared" si="1"/>
        <v>-6.1169698069370249</v>
      </c>
      <c r="H22" s="83">
        <f t="shared" si="8"/>
        <v>-3.6023614800467012</v>
      </c>
    </row>
    <row r="23" spans="1:8">
      <c r="A23" s="3" t="s">
        <v>153</v>
      </c>
      <c r="B23" s="55">
        <f>(9/0.025)*10^4</f>
        <v>3600000</v>
      </c>
      <c r="C23" s="56">
        <v>100</v>
      </c>
      <c r="D23" s="81" t="s">
        <v>134</v>
      </c>
      <c r="E23" s="3" t="s">
        <v>177</v>
      </c>
      <c r="F23" s="82">
        <f t="shared" si="0"/>
        <v>2.7777777777777779E-5</v>
      </c>
      <c r="G23" s="83">
        <f t="shared" si="1"/>
        <v>-4.5563025007672868</v>
      </c>
      <c r="H23" s="83">
        <f>G$23-G23</f>
        <v>0</v>
      </c>
    </row>
    <row r="24" spans="1:8">
      <c r="A24" s="3" t="s">
        <v>153</v>
      </c>
      <c r="B24" s="55">
        <f>(5/0.025)*10^6</f>
        <v>200000000</v>
      </c>
      <c r="C24" s="56">
        <v>200</v>
      </c>
      <c r="D24" s="81" t="s">
        <v>137</v>
      </c>
      <c r="E24" s="3" t="s">
        <v>177</v>
      </c>
      <c r="F24" s="82">
        <f t="shared" si="0"/>
        <v>9.9999999999999995E-7</v>
      </c>
      <c r="G24" s="83">
        <f t="shared" si="1"/>
        <v>-6</v>
      </c>
      <c r="H24" s="83">
        <f>G23-G24</f>
        <v>1.4436974992327132</v>
      </c>
    </row>
    <row r="25" spans="1:8">
      <c r="A25" s="3" t="s">
        <v>203</v>
      </c>
      <c r="B25" s="55">
        <f>(21/0.025)*10^4</f>
        <v>8400000</v>
      </c>
      <c r="C25" s="56">
        <f>1500</f>
        <v>1500</v>
      </c>
      <c r="D25" s="81" t="s">
        <v>123</v>
      </c>
      <c r="E25" s="81" t="s">
        <v>177</v>
      </c>
      <c r="F25" s="82">
        <f t="shared" si="0"/>
        <v>1.7857142857142857E-4</v>
      </c>
      <c r="G25" s="83">
        <f t="shared" si="1"/>
        <v>-3.7481880270062002</v>
      </c>
      <c r="H25" s="83">
        <f t="shared" ref="H25:H27" si="9">G$25-G25</f>
        <v>0</v>
      </c>
    </row>
    <row r="26" spans="1:8">
      <c r="A26" s="3" t="s">
        <v>204</v>
      </c>
      <c r="B26" s="55">
        <f>(3/0.05)*10^6</f>
        <v>60000000</v>
      </c>
      <c r="C26" s="56">
        <v>700</v>
      </c>
      <c r="D26" s="81" t="s">
        <v>126</v>
      </c>
      <c r="E26" s="3" t="s">
        <v>177</v>
      </c>
      <c r="F26" s="82">
        <f t="shared" si="0"/>
        <v>1.1666666666666666E-5</v>
      </c>
      <c r="G26" s="83">
        <f t="shared" si="1"/>
        <v>-4.9330532103693869</v>
      </c>
      <c r="H26" s="83">
        <f t="shared" si="9"/>
        <v>1.1848651833631867</v>
      </c>
    </row>
    <row r="27" spans="1:8">
      <c r="A27" s="3" t="s">
        <v>205</v>
      </c>
      <c r="B27" s="55">
        <f>(51/0.05)*10^6</f>
        <v>1020000000</v>
      </c>
      <c r="C27" s="56">
        <v>5200</v>
      </c>
      <c r="D27" s="81" t="s">
        <v>127</v>
      </c>
      <c r="E27" s="81" t="s">
        <v>177</v>
      </c>
      <c r="F27" s="82">
        <f t="shared" si="0"/>
        <v>5.0980392156862743E-6</v>
      </c>
      <c r="G27" s="83">
        <f t="shared" si="1"/>
        <v>-5.2925968281271185</v>
      </c>
      <c r="H27" s="83">
        <f t="shared" si="9"/>
        <v>1.5444088011209183</v>
      </c>
    </row>
    <row r="28" spans="1:8">
      <c r="A28" s="3" t="s">
        <v>206</v>
      </c>
      <c r="B28" s="55">
        <f>(21/0.025)*10^4</f>
        <v>8400000</v>
      </c>
      <c r="C28" s="55">
        <v>1</v>
      </c>
      <c r="D28" s="81" t="s">
        <v>123</v>
      </c>
      <c r="E28" s="81" t="s">
        <v>177</v>
      </c>
      <c r="F28" s="82">
        <f t="shared" si="0"/>
        <v>1.1904761904761904E-7</v>
      </c>
      <c r="G28" s="83">
        <f t="shared" si="1"/>
        <v>-6.924279286061882</v>
      </c>
      <c r="H28" s="83">
        <f t="shared" ref="H28:H30" si="10">G$28-G28</f>
        <v>0</v>
      </c>
    </row>
    <row r="29" spans="1:8">
      <c r="A29" s="3" t="s">
        <v>207</v>
      </c>
      <c r="B29" s="55">
        <f>(51/0.05)*10^6</f>
        <v>1020000000</v>
      </c>
      <c r="C29" s="56">
        <v>1500</v>
      </c>
      <c r="D29" s="3" t="s">
        <v>127</v>
      </c>
      <c r="E29" s="81" t="s">
        <v>177</v>
      </c>
      <c r="F29" s="82">
        <f t="shared" si="0"/>
        <v>1.4705882352941177E-6</v>
      </c>
      <c r="G29" s="83">
        <f t="shared" si="1"/>
        <v>-5.8325089127062366</v>
      </c>
      <c r="H29" s="83">
        <f t="shared" si="10"/>
        <v>-1.0917703733556454</v>
      </c>
    </row>
    <row r="30" spans="1:8">
      <c r="A30" s="3" t="s">
        <v>208</v>
      </c>
      <c r="B30" s="55">
        <f>(3/0.05)*10^6</f>
        <v>60000000</v>
      </c>
      <c r="C30" s="56">
        <v>400</v>
      </c>
      <c r="D30" s="55" t="s">
        <v>126</v>
      </c>
      <c r="E30" s="81" t="s">
        <v>177</v>
      </c>
      <c r="F30" s="82">
        <f t="shared" si="0"/>
        <v>6.6666666666666666E-6</v>
      </c>
      <c r="G30" s="83">
        <f t="shared" si="1"/>
        <v>-5.1760912590556813</v>
      </c>
      <c r="H30" s="83">
        <f t="shared" si="10"/>
        <v>-1.7481880270062007</v>
      </c>
    </row>
    <row r="31" spans="1:8">
      <c r="A31" s="3" t="s">
        <v>209</v>
      </c>
      <c r="B31" s="55">
        <f>(21/0.025)*10^4</f>
        <v>8400000</v>
      </c>
      <c r="C31" s="56">
        <v>200</v>
      </c>
      <c r="D31" s="3" t="s">
        <v>123</v>
      </c>
      <c r="E31" s="81" t="s">
        <v>177</v>
      </c>
      <c r="F31" s="82">
        <f t="shared" si="0"/>
        <v>2.380952380952381E-5</v>
      </c>
      <c r="G31" s="83">
        <f t="shared" si="1"/>
        <v>-4.6232492903979008</v>
      </c>
      <c r="H31" s="83">
        <f t="shared" ref="H31:H33" si="11">G$31-G31</f>
        <v>0</v>
      </c>
    </row>
    <row r="32" spans="1:8">
      <c r="A32" s="3" t="s">
        <v>210</v>
      </c>
      <c r="B32" s="55">
        <f>(51/0.05)*10^6</f>
        <v>1020000000</v>
      </c>
      <c r="C32" s="56">
        <v>600</v>
      </c>
      <c r="D32" s="3" t="s">
        <v>127</v>
      </c>
      <c r="E32" s="81" t="s">
        <v>177</v>
      </c>
      <c r="F32" s="82">
        <f t="shared" si="0"/>
        <v>5.8823529411764701E-7</v>
      </c>
      <c r="G32" s="83">
        <f t="shared" si="1"/>
        <v>-6.2304489213782741</v>
      </c>
      <c r="H32" s="83">
        <f t="shared" si="11"/>
        <v>1.6071996309803733</v>
      </c>
    </row>
    <row r="33" spans="1:8">
      <c r="A33" s="3" t="s">
        <v>211</v>
      </c>
      <c r="B33" s="55">
        <f>(3/0.05)*10^6</f>
        <v>60000000</v>
      </c>
      <c r="C33" s="56">
        <v>400</v>
      </c>
      <c r="D33" s="3" t="s">
        <v>126</v>
      </c>
      <c r="E33" s="81" t="s">
        <v>177</v>
      </c>
      <c r="F33" s="82">
        <f t="shared" si="0"/>
        <v>6.6666666666666666E-6</v>
      </c>
      <c r="G33" s="83">
        <f t="shared" si="1"/>
        <v>-5.1760912590556813</v>
      </c>
      <c r="H33" s="83">
        <f t="shared" si="11"/>
        <v>0.55284196865778057</v>
      </c>
    </row>
    <row r="34" spans="1:8">
      <c r="A34" s="3" t="s">
        <v>9</v>
      </c>
      <c r="B34" s="55">
        <f>(21/0.025)*10^4</f>
        <v>8400000</v>
      </c>
      <c r="C34" s="56">
        <v>1</v>
      </c>
      <c r="D34" s="56" t="s">
        <v>123</v>
      </c>
      <c r="E34" s="81" t="s">
        <v>177</v>
      </c>
      <c r="F34" s="82">
        <f t="shared" si="0"/>
        <v>1.1904761904761904E-7</v>
      </c>
      <c r="G34" s="83">
        <f t="shared" si="1"/>
        <v>-6.924279286061882</v>
      </c>
      <c r="H34" s="83">
        <f t="shared" ref="H34:H35" si="12">G$34-G34</f>
        <v>0</v>
      </c>
    </row>
    <row r="35" spans="1:8">
      <c r="A35" s="3" t="s">
        <v>9</v>
      </c>
      <c r="B35" s="55">
        <f>(3/0.05)*10^6</f>
        <v>60000000</v>
      </c>
      <c r="C35" s="55">
        <v>14800</v>
      </c>
      <c r="D35" s="3" t="s">
        <v>126</v>
      </c>
      <c r="E35" s="3" t="s">
        <v>177</v>
      </c>
      <c r="F35" s="82">
        <f t="shared" si="0"/>
        <v>2.4666666666666668E-4</v>
      </c>
      <c r="G35" s="83">
        <f t="shared" si="1"/>
        <v>-3.6078895349886864</v>
      </c>
      <c r="H35" s="83">
        <f t="shared" si="12"/>
        <v>-3.3163897510731957</v>
      </c>
    </row>
    <row r="36" spans="1:8">
      <c r="A36" s="3" t="s">
        <v>10</v>
      </c>
      <c r="B36" s="55">
        <f>(21/0.025)*10^4</f>
        <v>8400000</v>
      </c>
      <c r="C36" s="56">
        <v>1</v>
      </c>
      <c r="D36" s="56" t="s">
        <v>123</v>
      </c>
      <c r="E36" s="55" t="s">
        <v>177</v>
      </c>
      <c r="F36" s="82">
        <f t="shared" si="0"/>
        <v>1.1904761904761904E-7</v>
      </c>
      <c r="G36" s="83">
        <f t="shared" si="1"/>
        <v>-6.924279286061882</v>
      </c>
      <c r="H36" s="83">
        <f t="shared" ref="H36:H37" si="13">G$36-G36</f>
        <v>0</v>
      </c>
    </row>
    <row r="37" spans="1:8">
      <c r="A37" s="3" t="s">
        <v>10</v>
      </c>
      <c r="B37" s="55">
        <f t="shared" ref="B37:B38" si="14">(3/0.05)*10^6</f>
        <v>60000000</v>
      </c>
      <c r="C37" s="55">
        <v>20500</v>
      </c>
      <c r="D37" s="56" t="s">
        <v>126</v>
      </c>
      <c r="E37" s="56" t="s">
        <v>177</v>
      </c>
      <c r="F37" s="82">
        <f t="shared" si="0"/>
        <v>3.4166666666666666E-4</v>
      </c>
      <c r="G37" s="83">
        <f t="shared" si="1"/>
        <v>-3.4663973893278892</v>
      </c>
      <c r="H37" s="83">
        <f t="shared" si="13"/>
        <v>-3.4578818967339928</v>
      </c>
    </row>
    <row r="38" spans="1:8">
      <c r="A38" s="3" t="s">
        <v>161</v>
      </c>
      <c r="B38" s="55">
        <f t="shared" si="14"/>
        <v>60000000</v>
      </c>
      <c r="C38" s="56">
        <v>200</v>
      </c>
      <c r="D38" s="3" t="s">
        <v>126</v>
      </c>
      <c r="E38" s="81" t="s">
        <v>177</v>
      </c>
      <c r="F38" s="82">
        <f t="shared" si="0"/>
        <v>3.3333333333333333E-6</v>
      </c>
      <c r="G38" s="83">
        <f t="shared" si="1"/>
        <v>-5.4771212547196626</v>
      </c>
      <c r="H38" s="83">
        <f t="shared" ref="H38:H40" si="15">G$38-G38</f>
        <v>0</v>
      </c>
    </row>
    <row r="39" spans="1:8">
      <c r="A39" s="3" t="s">
        <v>161</v>
      </c>
      <c r="B39" s="55">
        <f>(21/0.025)*10^4</f>
        <v>8400000</v>
      </c>
      <c r="C39" s="3">
        <v>400</v>
      </c>
      <c r="D39" s="3" t="s">
        <v>123</v>
      </c>
      <c r="E39" s="81" t="s">
        <v>177</v>
      </c>
      <c r="F39" s="82">
        <f t="shared" si="0"/>
        <v>4.761904761904762E-5</v>
      </c>
      <c r="G39" s="83">
        <f t="shared" si="1"/>
        <v>-4.3222192947339195</v>
      </c>
      <c r="H39" s="83">
        <f t="shared" si="15"/>
        <v>-1.1549019599857431</v>
      </c>
    </row>
    <row r="40" spans="1:8">
      <c r="A40" s="3" t="s">
        <v>161</v>
      </c>
      <c r="B40" s="55">
        <f t="shared" ref="B40:B41" si="16">(51/0.05)*10^6</f>
        <v>1020000000</v>
      </c>
      <c r="C40" s="3">
        <v>600</v>
      </c>
      <c r="D40" s="3" t="s">
        <v>127</v>
      </c>
      <c r="E40" s="81" t="s">
        <v>177</v>
      </c>
      <c r="F40" s="82">
        <f t="shared" si="0"/>
        <v>5.8823529411764701E-7</v>
      </c>
      <c r="G40" s="83">
        <f t="shared" si="1"/>
        <v>-6.2304489213782741</v>
      </c>
      <c r="H40" s="83">
        <f t="shared" si="15"/>
        <v>0.75332766665861151</v>
      </c>
    </row>
    <row r="41" spans="1:8">
      <c r="A41" s="3" t="s">
        <v>19</v>
      </c>
      <c r="B41" s="55">
        <f t="shared" si="16"/>
        <v>1020000000</v>
      </c>
      <c r="C41" s="3">
        <f>900</f>
        <v>900</v>
      </c>
      <c r="D41" s="55" t="s">
        <v>127</v>
      </c>
      <c r="E41" s="81" t="s">
        <v>177</v>
      </c>
      <c r="F41" s="82">
        <f t="shared" si="0"/>
        <v>8.8235294117647062E-7</v>
      </c>
      <c r="G41" s="83">
        <f t="shared" si="1"/>
        <v>-6.0543576623225928</v>
      </c>
      <c r="H41" s="83">
        <f t="shared" ref="H41:H43" si="17">G$41-G41</f>
        <v>0</v>
      </c>
    </row>
    <row r="42" spans="1:8">
      <c r="A42" s="3" t="s">
        <v>19</v>
      </c>
      <c r="B42" s="55">
        <f>(3/0.05)*10^6</f>
        <v>60000000</v>
      </c>
      <c r="C42" s="56">
        <f>700</f>
        <v>700</v>
      </c>
      <c r="D42" s="3" t="s">
        <v>126</v>
      </c>
      <c r="E42" s="81" t="s">
        <v>177</v>
      </c>
      <c r="F42" s="82">
        <f t="shared" si="0"/>
        <v>1.1666666666666666E-5</v>
      </c>
      <c r="G42" s="83">
        <f t="shared" si="1"/>
        <v>-4.9330532103693869</v>
      </c>
      <c r="H42" s="83">
        <f t="shared" si="17"/>
        <v>-1.1213044519532058</v>
      </c>
    </row>
    <row r="43" spans="1:8">
      <c r="A43" s="3" t="s">
        <v>19</v>
      </c>
      <c r="B43" s="55">
        <f>(21/0.025)*10^4</f>
        <v>8400000</v>
      </c>
      <c r="C43" s="3">
        <f>300</f>
        <v>300</v>
      </c>
      <c r="D43" s="3" t="s">
        <v>123</v>
      </c>
      <c r="E43" s="81" t="s">
        <v>177</v>
      </c>
      <c r="F43" s="82">
        <f t="shared" si="0"/>
        <v>3.5714285714285717E-5</v>
      </c>
      <c r="G43" s="83">
        <f t="shared" si="1"/>
        <v>-4.4471580313422194</v>
      </c>
      <c r="H43" s="83">
        <f t="shared" si="17"/>
        <v>-1.6071996309803733</v>
      </c>
    </row>
    <row r="44" spans="1:8">
      <c r="A44" s="3" t="s">
        <v>20</v>
      </c>
      <c r="B44" s="55">
        <f>(51/0.05)*10^6</f>
        <v>1020000000</v>
      </c>
      <c r="C44" s="3">
        <f>500</f>
        <v>500</v>
      </c>
      <c r="D44" s="81" t="s">
        <v>127</v>
      </c>
      <c r="E44" s="3" t="s">
        <v>177</v>
      </c>
      <c r="F44" s="82">
        <f t="shared" si="0"/>
        <v>4.9019607843137254E-7</v>
      </c>
      <c r="G44" s="83">
        <f t="shared" si="1"/>
        <v>-6.3096301674258983</v>
      </c>
      <c r="H44" s="83">
        <f t="shared" ref="H44:H46" si="18">G$44-G44</f>
        <v>0</v>
      </c>
    </row>
    <row r="45" spans="1:8">
      <c r="A45" s="3" t="s">
        <v>20</v>
      </c>
      <c r="B45" s="55">
        <f>(3/0.05)*10^6</f>
        <v>60000000</v>
      </c>
      <c r="C45" s="56">
        <v>500</v>
      </c>
      <c r="D45" s="3" t="s">
        <v>126</v>
      </c>
      <c r="E45" s="55" t="s">
        <v>177</v>
      </c>
      <c r="F45" s="82">
        <f t="shared" si="0"/>
        <v>8.3333333333333337E-6</v>
      </c>
      <c r="G45" s="83">
        <f t="shared" si="1"/>
        <v>-5.0791812460476251</v>
      </c>
      <c r="H45" s="83">
        <f t="shared" si="18"/>
        <v>-1.2304489213782732</v>
      </c>
    </row>
    <row r="46" spans="1:8">
      <c r="A46" s="3" t="s">
        <v>20</v>
      </c>
      <c r="B46" s="55">
        <f>(21/0.025)*10^4</f>
        <v>8400000</v>
      </c>
      <c r="C46" s="56">
        <v>900</v>
      </c>
      <c r="D46" s="3" t="s">
        <v>123</v>
      </c>
      <c r="E46" s="56" t="s">
        <v>177</v>
      </c>
      <c r="F46" s="82">
        <f t="shared" si="0"/>
        <v>1.0714285714285714E-4</v>
      </c>
      <c r="G46" s="83">
        <f t="shared" si="1"/>
        <v>-3.9700367766225568</v>
      </c>
      <c r="H46" s="83">
        <f t="shared" si="18"/>
        <v>-2.3395933908033415</v>
      </c>
    </row>
    <row r="47" spans="1:8">
      <c r="A47" s="3" t="s">
        <v>21</v>
      </c>
      <c r="B47" s="55">
        <f>(51/0.05)*10^6</f>
        <v>1020000000</v>
      </c>
      <c r="C47" s="55">
        <v>1</v>
      </c>
      <c r="D47" s="81" t="s">
        <v>127</v>
      </c>
      <c r="E47" s="81" t="s">
        <v>177</v>
      </c>
      <c r="F47" s="82">
        <f t="shared" si="0"/>
        <v>9.8039215686274513E-10</v>
      </c>
      <c r="G47" s="83">
        <f t="shared" si="1"/>
        <v>-9.008600171761918</v>
      </c>
      <c r="H47" s="83">
        <f t="shared" ref="H47:H48" si="19">G$47-G47</f>
        <v>0</v>
      </c>
    </row>
    <row r="48" spans="1:8">
      <c r="A48" s="3" t="s">
        <v>21</v>
      </c>
      <c r="B48" s="55">
        <f>(3/0.05)*10^6</f>
        <v>60000000</v>
      </c>
      <c r="C48" s="56">
        <v>17100</v>
      </c>
      <c r="D48" s="3" t="s">
        <v>126</v>
      </c>
      <c r="E48" s="81" t="s">
        <v>177</v>
      </c>
      <c r="F48" s="82">
        <f t="shared" si="0"/>
        <v>2.8499999999999999E-4</v>
      </c>
      <c r="G48" s="83">
        <f t="shared" si="1"/>
        <v>-3.5451551399914898</v>
      </c>
      <c r="H48" s="83">
        <f t="shared" si="19"/>
        <v>-5.4634450317704282</v>
      </c>
    </row>
    <row r="49" spans="1:8">
      <c r="A49" s="3" t="s">
        <v>22</v>
      </c>
      <c r="B49" s="55">
        <f>(51/0.05)*10^6</f>
        <v>1020000000</v>
      </c>
      <c r="C49" s="55">
        <v>1</v>
      </c>
      <c r="D49" s="81" t="s">
        <v>127</v>
      </c>
      <c r="E49" s="81" t="s">
        <v>177</v>
      </c>
      <c r="F49" s="82">
        <f t="shared" si="0"/>
        <v>9.8039215686274513E-10</v>
      </c>
      <c r="G49" s="83">
        <f t="shared" si="1"/>
        <v>-9.008600171761918</v>
      </c>
      <c r="H49" s="83">
        <f t="shared" ref="H49:H50" si="20">G$49-G49</f>
        <v>0</v>
      </c>
    </row>
    <row r="50" spans="1:8">
      <c r="A50" s="3" t="s">
        <v>22</v>
      </c>
      <c r="B50" s="55">
        <f>(3/0.05)*10^6</f>
        <v>60000000</v>
      </c>
      <c r="C50" s="56">
        <v>7000</v>
      </c>
      <c r="D50" s="3" t="s">
        <v>126</v>
      </c>
      <c r="E50" s="81" t="s">
        <v>177</v>
      </c>
      <c r="F50" s="82">
        <f t="shared" si="0"/>
        <v>1.1666666666666667E-4</v>
      </c>
      <c r="G50" s="83">
        <f t="shared" si="1"/>
        <v>-3.9330532103693869</v>
      </c>
      <c r="H50" s="83">
        <f t="shared" si="20"/>
        <v>-5.075546961392531</v>
      </c>
    </row>
    <row r="51" spans="1:8">
      <c r="A51" s="3" t="s">
        <v>212</v>
      </c>
      <c r="B51" s="55">
        <f>(5/0.025)*10^6</f>
        <v>200000000</v>
      </c>
      <c r="C51" s="56">
        <v>400</v>
      </c>
      <c r="D51" s="81" t="s">
        <v>137</v>
      </c>
      <c r="E51" s="81" t="s">
        <v>177</v>
      </c>
      <c r="F51" s="82">
        <f t="shared" si="0"/>
        <v>1.9999999999999999E-6</v>
      </c>
      <c r="G51" s="83">
        <f t="shared" si="1"/>
        <v>-5.6989700043360187</v>
      </c>
      <c r="H51" s="83">
        <f t="shared" ref="H51:H52" si="21">G$51-G51</f>
        <v>0</v>
      </c>
    </row>
    <row r="52" spans="1:8">
      <c r="A52" s="3" t="s">
        <v>213</v>
      </c>
      <c r="B52" s="55">
        <f>(9/0.025)*10^4</f>
        <v>3600000</v>
      </c>
      <c r="C52" s="56">
        <v>300</v>
      </c>
      <c r="D52" s="81" t="s">
        <v>134</v>
      </c>
      <c r="E52" s="81" t="s">
        <v>177</v>
      </c>
      <c r="F52" s="82">
        <f t="shared" si="0"/>
        <v>8.3333333333333331E-5</v>
      </c>
      <c r="G52" s="83">
        <f t="shared" si="1"/>
        <v>-4.0791812460476251</v>
      </c>
      <c r="H52" s="83">
        <f t="shared" si="21"/>
        <v>-1.6197887582883936</v>
      </c>
    </row>
    <row r="53" spans="1:8">
      <c r="A53" s="3" t="s">
        <v>27</v>
      </c>
      <c r="B53" s="55">
        <f>(5/0.025)*10^6</f>
        <v>200000000</v>
      </c>
      <c r="C53" s="56">
        <v>300</v>
      </c>
      <c r="D53" s="81" t="s">
        <v>137</v>
      </c>
      <c r="E53" s="55" t="s">
        <v>177</v>
      </c>
      <c r="F53" s="82">
        <f t="shared" si="0"/>
        <v>1.5E-6</v>
      </c>
      <c r="G53" s="83">
        <f t="shared" si="1"/>
        <v>-5.8239087409443187</v>
      </c>
      <c r="H53" s="83">
        <f t="shared" ref="H53:H54" si="22">G$53-G53</f>
        <v>0</v>
      </c>
    </row>
    <row r="54" spans="1:8">
      <c r="A54" s="3" t="s">
        <v>27</v>
      </c>
      <c r="B54" s="55">
        <f>(9/0.025)*10^4</f>
        <v>3600000</v>
      </c>
      <c r="C54" s="56">
        <v>800</v>
      </c>
      <c r="D54" s="81" t="s">
        <v>134</v>
      </c>
      <c r="E54" s="56" t="s">
        <v>177</v>
      </c>
      <c r="F54" s="82">
        <f t="shared" si="0"/>
        <v>2.2222222222222223E-4</v>
      </c>
      <c r="G54" s="83">
        <f t="shared" si="1"/>
        <v>-3.6532125137753435</v>
      </c>
      <c r="H54" s="83">
        <f t="shared" si="22"/>
        <v>-2.1706962271689751</v>
      </c>
    </row>
    <row r="55" spans="1:8">
      <c r="A55" s="3" t="s">
        <v>28</v>
      </c>
      <c r="B55" s="55">
        <f>(5/0.025)*10^6</f>
        <v>200000000</v>
      </c>
      <c r="C55" s="81">
        <v>1</v>
      </c>
      <c r="D55" s="81" t="s">
        <v>137</v>
      </c>
      <c r="E55" s="81" t="s">
        <v>177</v>
      </c>
      <c r="F55" s="82">
        <f t="shared" si="0"/>
        <v>5.0000000000000001E-9</v>
      </c>
      <c r="G55" s="83">
        <f t="shared" si="1"/>
        <v>-8.3010299956639813</v>
      </c>
      <c r="H55" s="83">
        <f t="shared" ref="H55:H58" si="23">G$55-G55</f>
        <v>0</v>
      </c>
    </row>
    <row r="56" spans="1:8">
      <c r="A56" s="3" t="s">
        <v>28</v>
      </c>
      <c r="B56" s="55">
        <f>(21/0.025)*10^4</f>
        <v>8400000</v>
      </c>
      <c r="C56" s="56">
        <v>300</v>
      </c>
      <c r="D56" s="3" t="s">
        <v>123</v>
      </c>
      <c r="E56" s="81" t="s">
        <v>177</v>
      </c>
      <c r="F56" s="82">
        <f t="shared" si="0"/>
        <v>3.5714285714285717E-5</v>
      </c>
      <c r="G56" s="83">
        <f t="shared" si="1"/>
        <v>-4.4471580313422194</v>
      </c>
      <c r="H56" s="83">
        <f t="shared" si="23"/>
        <v>-3.8538719643217618</v>
      </c>
    </row>
    <row r="57" spans="1:8">
      <c r="A57" s="3" t="s">
        <v>28</v>
      </c>
      <c r="B57" s="55">
        <f>(51/0.05)*10^6</f>
        <v>1020000000</v>
      </c>
      <c r="C57" s="56">
        <v>4700</v>
      </c>
      <c r="D57" s="3" t="s">
        <v>127</v>
      </c>
      <c r="E57" s="81" t="s">
        <v>177</v>
      </c>
      <c r="F57" s="82">
        <f t="shared" si="0"/>
        <v>4.6078431372549021E-6</v>
      </c>
      <c r="G57" s="83">
        <f t="shared" si="1"/>
        <v>-5.3365023138262</v>
      </c>
      <c r="H57" s="83">
        <f t="shared" si="23"/>
        <v>-2.9645276818377813</v>
      </c>
    </row>
    <row r="58" spans="1:8">
      <c r="A58" s="3" t="s">
        <v>28</v>
      </c>
      <c r="B58" s="55">
        <f>(3/0.05)*10^6</f>
        <v>60000000</v>
      </c>
      <c r="C58" s="56">
        <v>2400</v>
      </c>
      <c r="D58" s="3" t="s">
        <v>126</v>
      </c>
      <c r="E58" s="81" t="s">
        <v>177</v>
      </c>
      <c r="F58" s="82">
        <f t="shared" si="0"/>
        <v>4.0000000000000003E-5</v>
      </c>
      <c r="G58" s="83">
        <f t="shared" si="1"/>
        <v>-4.3979400086720375</v>
      </c>
      <c r="H58" s="83">
        <f t="shared" si="23"/>
        <v>-3.9030899869919438</v>
      </c>
    </row>
    <row r="59" spans="1:8">
      <c r="A59" s="3" t="s">
        <v>167</v>
      </c>
      <c r="B59" s="55">
        <f>(36/0.025)*10^6</f>
        <v>1440000000</v>
      </c>
      <c r="C59" s="56">
        <v>500</v>
      </c>
      <c r="D59" s="3" t="s">
        <v>121</v>
      </c>
      <c r="E59" s="81" t="s">
        <v>177</v>
      </c>
      <c r="F59" s="82">
        <f t="shared" si="0"/>
        <v>3.4722222222222224E-7</v>
      </c>
      <c r="G59" s="83">
        <f t="shared" si="1"/>
        <v>-6.4593924877592306</v>
      </c>
      <c r="H59" s="83">
        <f t="shared" ref="H59:H61" si="24">G$59-G59</f>
        <v>0</v>
      </c>
    </row>
    <row r="60" spans="1:8">
      <c r="A60" s="3" t="s">
        <v>167</v>
      </c>
      <c r="B60" s="55">
        <f>(131/0.025)*10^6</f>
        <v>5240000000</v>
      </c>
      <c r="C60" s="56">
        <v>1300</v>
      </c>
      <c r="D60" s="3" t="s">
        <v>122</v>
      </c>
      <c r="E60" s="81" t="s">
        <v>177</v>
      </c>
      <c r="F60" s="82">
        <f t="shared" si="0"/>
        <v>2.4809160305343511E-7</v>
      </c>
      <c r="G60" s="83">
        <f t="shared" si="1"/>
        <v>-6.60538793467689</v>
      </c>
      <c r="H60" s="83">
        <f t="shared" si="24"/>
        <v>0.14599544691765942</v>
      </c>
    </row>
    <row r="61" spans="1:8">
      <c r="A61" s="3" t="s">
        <v>167</v>
      </c>
      <c r="B61" s="55">
        <f>(21/0.025)*10^4</f>
        <v>8400000</v>
      </c>
      <c r="C61" s="56">
        <v>7100</v>
      </c>
      <c r="D61" s="3" t="s">
        <v>123</v>
      </c>
      <c r="E61" s="81" t="s">
        <v>177</v>
      </c>
      <c r="F61" s="82">
        <f t="shared" si="0"/>
        <v>8.4523809523809519E-4</v>
      </c>
      <c r="G61" s="83">
        <f t="shared" si="1"/>
        <v>-3.0730209373428066</v>
      </c>
      <c r="H61" s="83">
        <f t="shared" si="24"/>
        <v>-3.386371550416424</v>
      </c>
    </row>
    <row r="62" spans="1:8">
      <c r="A62" s="3" t="s">
        <v>24</v>
      </c>
      <c r="B62" s="55">
        <f>(36/0.025)*10^6</f>
        <v>1440000000</v>
      </c>
      <c r="C62" s="56">
        <v>100</v>
      </c>
      <c r="D62" s="55" t="s">
        <v>121</v>
      </c>
      <c r="E62" s="81" t="s">
        <v>177</v>
      </c>
      <c r="F62" s="82">
        <f t="shared" si="0"/>
        <v>6.944444444444444E-8</v>
      </c>
      <c r="G62" s="83">
        <f t="shared" si="1"/>
        <v>-7.1583624920952493</v>
      </c>
      <c r="H62" s="83">
        <f t="shared" ref="H62:H63" si="25">G$62-G62</f>
        <v>0</v>
      </c>
    </row>
    <row r="63" spans="1:8">
      <c r="A63" s="3" t="s">
        <v>24</v>
      </c>
      <c r="B63" s="55">
        <f>(131/0.025)*10^6</f>
        <v>5240000000</v>
      </c>
      <c r="C63" s="56">
        <f>900</f>
        <v>900</v>
      </c>
      <c r="D63" s="55" t="s">
        <v>122</v>
      </c>
      <c r="E63" s="81" t="s">
        <v>177</v>
      </c>
      <c r="F63" s="82">
        <f t="shared" si="0"/>
        <v>1.717557251908397E-7</v>
      </c>
      <c r="G63" s="83">
        <f t="shared" si="1"/>
        <v>-6.7650887775444017</v>
      </c>
      <c r="H63" s="83">
        <f t="shared" si="25"/>
        <v>-0.39327371455084759</v>
      </c>
    </row>
    <row r="64" spans="1:8">
      <c r="A64" s="3" t="s">
        <v>25</v>
      </c>
      <c r="B64" s="55">
        <f>(36/0.025)*10^6</f>
        <v>1440000000</v>
      </c>
      <c r="C64" s="56">
        <v>200</v>
      </c>
      <c r="D64" s="81" t="s">
        <v>121</v>
      </c>
      <c r="E64" s="81" t="s">
        <v>177</v>
      </c>
      <c r="F64" s="82">
        <f t="shared" si="0"/>
        <v>1.3888888888888888E-7</v>
      </c>
      <c r="G64" s="83">
        <f t="shared" si="1"/>
        <v>-6.8573324964312681</v>
      </c>
      <c r="H64" s="83">
        <f t="shared" ref="H64:H65" si="26">G$64-G64</f>
        <v>0</v>
      </c>
    </row>
    <row r="65" spans="1:11">
      <c r="A65" s="3" t="s">
        <v>25</v>
      </c>
      <c r="B65" s="55">
        <f>(131/0.025)*10^6</f>
        <v>5240000000</v>
      </c>
      <c r="C65" s="56">
        <v>100</v>
      </c>
      <c r="D65" s="3" t="s">
        <v>122</v>
      </c>
      <c r="E65" s="81" t="s">
        <v>177</v>
      </c>
      <c r="F65" s="82">
        <f t="shared" si="0"/>
        <v>1.9083969465648856E-8</v>
      </c>
      <c r="G65" s="83">
        <f t="shared" si="1"/>
        <v>-7.7193312869837269</v>
      </c>
      <c r="H65" s="83">
        <f t="shared" si="26"/>
        <v>0.86199879055245887</v>
      </c>
    </row>
    <row r="66" spans="1:11">
      <c r="A66" s="3"/>
      <c r="H66" s="81"/>
    </row>
    <row r="67" spans="1:11">
      <c r="A67" s="3"/>
      <c r="H67" s="81"/>
    </row>
    <row r="68" spans="1:11">
      <c r="A68" s="3"/>
      <c r="B68" s="76"/>
      <c r="C68" s="76"/>
      <c r="D68" s="76"/>
      <c r="E68" s="76"/>
      <c r="F68" s="76"/>
      <c r="G68" s="3"/>
      <c r="H68" s="3"/>
      <c r="I68" s="3"/>
      <c r="J68" s="3"/>
      <c r="K68" s="3"/>
    </row>
    <row r="69" spans="1:11">
      <c r="A69" s="3"/>
      <c r="B69" s="76"/>
      <c r="C69" s="76"/>
      <c r="D69" s="76"/>
      <c r="E69" s="76"/>
      <c r="F69" s="3"/>
      <c r="G69" s="3"/>
      <c r="H69" s="3"/>
      <c r="I69" s="3"/>
      <c r="J69" s="55"/>
      <c r="K69" s="55"/>
    </row>
    <row r="70" spans="1:11">
      <c r="A70" s="3"/>
      <c r="B70" s="55"/>
      <c r="C70" s="55"/>
      <c r="D70" s="55"/>
      <c r="E70" s="55"/>
      <c r="F70" s="55"/>
      <c r="G70" s="55"/>
      <c r="H70" s="55"/>
      <c r="I70" s="55"/>
      <c r="J70" s="55"/>
      <c r="K70" s="56"/>
    </row>
    <row r="71" spans="1:11">
      <c r="A71" s="3"/>
      <c r="B71" s="55"/>
      <c r="C71" s="55"/>
      <c r="D71" s="55"/>
      <c r="E71" s="55"/>
      <c r="F71" s="3"/>
      <c r="G71" s="56"/>
      <c r="H71" s="56"/>
      <c r="I71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85"/>
  <sheetViews>
    <sheetView workbookViewId="0">
      <selection activeCell="A2" sqref="A2"/>
    </sheetView>
  </sheetViews>
  <sheetFormatPr baseColWidth="10" defaultColWidth="14.5" defaultRowHeight="15" customHeight="1"/>
  <cols>
    <col min="1" max="1" width="16" customWidth="1"/>
    <col min="2" max="2" width="11.6640625" customWidth="1"/>
    <col min="3" max="3" width="10.83203125" customWidth="1"/>
    <col min="4" max="4" width="11.33203125" customWidth="1"/>
  </cols>
  <sheetData>
    <row r="1" spans="1:10">
      <c r="A1" s="91" t="s">
        <v>214</v>
      </c>
      <c r="B1" s="91" t="s">
        <v>215</v>
      </c>
      <c r="C1" s="92" t="s">
        <v>216</v>
      </c>
      <c r="D1" s="92" t="s">
        <v>217</v>
      </c>
    </row>
    <row r="2" spans="1:10">
      <c r="A2" s="86" t="s">
        <v>218</v>
      </c>
      <c r="B2" s="89" t="s">
        <v>123</v>
      </c>
      <c r="C2" s="74">
        <v>540000</v>
      </c>
      <c r="D2" s="74">
        <v>7390</v>
      </c>
    </row>
    <row r="3" spans="1:10">
      <c r="A3" s="86" t="s">
        <v>218</v>
      </c>
      <c r="B3" s="85" t="s">
        <v>127</v>
      </c>
      <c r="C3" s="74">
        <v>540000</v>
      </c>
      <c r="D3" s="74">
        <v>1880000</v>
      </c>
      <c r="H3" s="74"/>
      <c r="I3" s="74"/>
    </row>
    <row r="4" spans="1:10">
      <c r="A4" s="86" t="s">
        <v>219</v>
      </c>
      <c r="B4" s="85" t="s">
        <v>127</v>
      </c>
      <c r="C4" s="74">
        <v>3333333.333333333</v>
      </c>
      <c r="D4" s="74">
        <v>408000</v>
      </c>
      <c r="H4" s="75"/>
      <c r="I4" s="75"/>
      <c r="J4" s="75"/>
    </row>
    <row r="5" spans="1:10">
      <c r="A5" s="89" t="s">
        <v>17</v>
      </c>
      <c r="B5" s="87" t="s">
        <v>123</v>
      </c>
      <c r="C5" s="74">
        <v>26853.146853146853</v>
      </c>
      <c r="D5" s="74">
        <v>151807.22891566265</v>
      </c>
    </row>
    <row r="6" spans="1:10">
      <c r="A6" s="89" t="s">
        <v>17</v>
      </c>
      <c r="B6" s="87" t="s">
        <v>127</v>
      </c>
      <c r="C6" s="74">
        <v>26853.146853146853</v>
      </c>
      <c r="D6" s="56">
        <v>19600000</v>
      </c>
    </row>
    <row r="7" spans="1:10">
      <c r="A7" s="86" t="s">
        <v>220</v>
      </c>
      <c r="B7" s="85" t="s">
        <v>134</v>
      </c>
      <c r="C7" s="74">
        <v>26200000</v>
      </c>
      <c r="D7" s="74">
        <v>4400</v>
      </c>
    </row>
    <row r="8" spans="1:10">
      <c r="A8" s="86" t="s">
        <v>220</v>
      </c>
      <c r="B8" s="85" t="s">
        <v>137</v>
      </c>
      <c r="C8" s="74">
        <v>26200000</v>
      </c>
      <c r="D8" s="74">
        <v>1428571.4285714286</v>
      </c>
      <c r="H8" s="74"/>
      <c r="I8" s="74"/>
    </row>
    <row r="9" spans="1:10">
      <c r="A9" s="86" t="s">
        <v>220</v>
      </c>
      <c r="B9" s="85" t="s">
        <v>123</v>
      </c>
      <c r="C9" s="74">
        <v>26200000</v>
      </c>
      <c r="D9" s="74">
        <v>318.98734177215186</v>
      </c>
      <c r="H9" s="75"/>
      <c r="I9" s="75"/>
    </row>
    <row r="10" spans="1:10">
      <c r="A10" s="88" t="s">
        <v>153</v>
      </c>
      <c r="B10" s="85" t="s">
        <v>137</v>
      </c>
      <c r="C10" s="74">
        <v>54000</v>
      </c>
      <c r="D10" s="74">
        <v>400000.00000000006</v>
      </c>
    </row>
    <row r="11" spans="1:10">
      <c r="A11" s="88" t="s">
        <v>185</v>
      </c>
      <c r="B11" s="85" t="s">
        <v>127</v>
      </c>
      <c r="C11" s="74">
        <v>186666.66666666669</v>
      </c>
      <c r="D11" s="74">
        <v>12566105.76923077</v>
      </c>
    </row>
    <row r="12" spans="1:10">
      <c r="A12" s="88" t="s">
        <v>221</v>
      </c>
      <c r="B12" s="85" t="s">
        <v>127</v>
      </c>
      <c r="C12" s="74">
        <v>126000</v>
      </c>
      <c r="D12" s="74">
        <v>2550000</v>
      </c>
    </row>
    <row r="13" spans="1:10">
      <c r="A13" s="88" t="s">
        <v>221</v>
      </c>
      <c r="B13" s="89" t="s">
        <v>126</v>
      </c>
      <c r="C13" s="74">
        <v>126000</v>
      </c>
      <c r="D13" s="74">
        <v>183333.33333333334</v>
      </c>
      <c r="H13" s="74"/>
      <c r="I13" s="74"/>
      <c r="J13" s="74"/>
    </row>
    <row r="14" spans="1:10">
      <c r="A14" s="90" t="s">
        <v>188</v>
      </c>
      <c r="B14" s="87" t="s">
        <v>126</v>
      </c>
      <c r="C14" s="74">
        <v>1589130.4347826089</v>
      </c>
      <c r="D14" s="74">
        <v>106363.63636363637</v>
      </c>
      <c r="H14" s="75"/>
      <c r="I14" s="75"/>
      <c r="J14" s="75"/>
    </row>
    <row r="15" spans="1:10">
      <c r="A15" s="90" t="s">
        <v>188</v>
      </c>
      <c r="B15" s="87" t="s">
        <v>123</v>
      </c>
      <c r="C15" s="74">
        <v>1589130.4347826089</v>
      </c>
      <c r="D15" s="74">
        <v>11516.129032258063</v>
      </c>
    </row>
    <row r="16" spans="1:10">
      <c r="A16" s="90" t="s">
        <v>19</v>
      </c>
      <c r="B16" s="87" t="s">
        <v>126</v>
      </c>
      <c r="C16" s="74">
        <v>3258333.333333333</v>
      </c>
      <c r="D16" s="74">
        <v>121182.26600985222</v>
      </c>
    </row>
    <row r="17" spans="1:14">
      <c r="A17" s="90" t="s">
        <v>19</v>
      </c>
      <c r="B17" s="87" t="s">
        <v>123</v>
      </c>
      <c r="C17" s="74">
        <v>3258333.333333333</v>
      </c>
      <c r="D17" s="74">
        <v>59111.111111111109</v>
      </c>
    </row>
    <row r="18" spans="1:14">
      <c r="A18" s="90" t="s">
        <v>20</v>
      </c>
      <c r="B18" s="87" t="s">
        <v>126</v>
      </c>
      <c r="C18" s="74">
        <v>5100000</v>
      </c>
      <c r="D18" s="74">
        <v>144000</v>
      </c>
      <c r="F18" s="74"/>
      <c r="G18" s="74"/>
      <c r="H18" s="74"/>
      <c r="L18" s="74"/>
      <c r="N18" s="74"/>
    </row>
    <row r="19" spans="1:14">
      <c r="A19" s="90" t="s">
        <v>20</v>
      </c>
      <c r="B19" s="87" t="s">
        <v>123</v>
      </c>
      <c r="C19" s="74">
        <v>5100000</v>
      </c>
      <c r="D19" s="74">
        <v>56000</v>
      </c>
      <c r="F19" s="75"/>
      <c r="G19" s="75"/>
      <c r="H19" s="75"/>
      <c r="J19" s="75"/>
      <c r="K19" s="75"/>
      <c r="L19" s="75"/>
      <c r="M19" s="75"/>
      <c r="N19" s="75"/>
    </row>
    <row r="20" spans="1:14">
      <c r="A20" s="88" t="s">
        <v>189</v>
      </c>
      <c r="B20" s="85" t="s">
        <v>134</v>
      </c>
      <c r="C20" s="74">
        <v>888888.88888888888</v>
      </c>
      <c r="D20" s="74">
        <v>6400</v>
      </c>
      <c r="F20" s="74"/>
      <c r="G20" s="74"/>
      <c r="H20" s="74"/>
    </row>
    <row r="21" spans="1:14">
      <c r="A21" s="85" t="s">
        <v>27</v>
      </c>
      <c r="B21" s="85" t="s">
        <v>134</v>
      </c>
      <c r="C21" s="74">
        <v>3461.5384615384614</v>
      </c>
      <c r="D21" s="74">
        <v>1.8777777777777775</v>
      </c>
      <c r="F21" s="84"/>
      <c r="G21" s="74"/>
      <c r="H21" s="84"/>
    </row>
    <row r="22" spans="1:14">
      <c r="A22" s="88" t="s">
        <v>167</v>
      </c>
      <c r="B22" s="85" t="s">
        <v>123</v>
      </c>
      <c r="C22" s="74">
        <v>1171200</v>
      </c>
      <c r="D22" s="74">
        <v>1106.1971830985917</v>
      </c>
    </row>
    <row r="23" spans="1:14">
      <c r="A23" s="85" t="s">
        <v>24</v>
      </c>
      <c r="B23" s="85" t="s">
        <v>122</v>
      </c>
      <c r="C23" s="74">
        <v>5760000.0000000009</v>
      </c>
      <c r="D23" s="74">
        <v>395911.11111111112</v>
      </c>
      <c r="J23" s="74"/>
      <c r="L23" s="74"/>
    </row>
    <row r="24" spans="1:14">
      <c r="A24" s="85" t="s">
        <v>25</v>
      </c>
      <c r="B24" s="85" t="s">
        <v>122</v>
      </c>
      <c r="C24" s="74">
        <v>12413793.103448275</v>
      </c>
      <c r="D24" s="74">
        <v>33646315.789473683</v>
      </c>
      <c r="J24" s="75"/>
      <c r="K24" s="75"/>
      <c r="L24" s="75"/>
    </row>
    <row r="28" spans="1:14">
      <c r="F28" s="74"/>
      <c r="K28" s="74"/>
      <c r="M28" s="74"/>
    </row>
    <row r="29" spans="1:14">
      <c r="F29" s="75"/>
      <c r="J29" s="75"/>
      <c r="K29" s="75"/>
      <c r="L29" s="75"/>
      <c r="M29" s="75"/>
    </row>
    <row r="30" spans="1:14">
      <c r="F30" s="74"/>
    </row>
    <row r="35" spans="6:11">
      <c r="F35" s="74"/>
      <c r="G35" s="74"/>
    </row>
    <row r="40" spans="6:11">
      <c r="I40" s="75"/>
      <c r="J40" s="75"/>
    </row>
    <row r="44" spans="6:11">
      <c r="I44" s="74"/>
      <c r="K44" s="74"/>
    </row>
    <row r="45" spans="6:11">
      <c r="I45" s="75"/>
      <c r="J45" s="75"/>
      <c r="K45" s="75"/>
    </row>
    <row r="49" spans="8:13">
      <c r="H49" s="74"/>
      <c r="L49" s="74"/>
      <c r="M49" s="74"/>
    </row>
    <row r="50" spans="8:13">
      <c r="H50" s="75"/>
      <c r="J50" s="75"/>
      <c r="K50" s="75"/>
      <c r="L50" s="75"/>
      <c r="M50" s="75"/>
    </row>
    <row r="51" spans="8:13">
      <c r="H51" s="74"/>
    </row>
    <row r="52" spans="8:13">
      <c r="H52" s="84"/>
    </row>
    <row r="53" spans="8:13">
      <c r="H53" s="84"/>
    </row>
    <row r="54" spans="8:13">
      <c r="J54" s="74"/>
      <c r="K54" s="74"/>
    </row>
    <row r="55" spans="8:13">
      <c r="J55" s="75"/>
      <c r="K55" s="75"/>
    </row>
    <row r="59" spans="8:13">
      <c r="J59" s="74"/>
      <c r="K59" s="74"/>
      <c r="L59" s="74"/>
    </row>
    <row r="60" spans="8:13">
      <c r="J60" s="75"/>
      <c r="K60" s="75"/>
      <c r="L60" s="75"/>
    </row>
    <row r="74" spans="10:12">
      <c r="J74" s="74"/>
      <c r="K74" s="74"/>
      <c r="L74" s="74"/>
    </row>
    <row r="75" spans="10:12">
      <c r="J75" s="75"/>
      <c r="K75" s="75"/>
      <c r="L75" s="75"/>
    </row>
    <row r="79" spans="10:12">
      <c r="J79" s="74"/>
      <c r="K79" s="74"/>
      <c r="L79" s="74"/>
    </row>
    <row r="80" spans="10:12">
      <c r="J80" s="75"/>
      <c r="K80" s="75"/>
      <c r="L80" s="75"/>
    </row>
    <row r="84" spans="10:12">
      <c r="J84" s="74"/>
      <c r="K84" s="74"/>
      <c r="L84" s="74"/>
    </row>
    <row r="85" spans="10:12">
      <c r="J85" s="75"/>
      <c r="K85" s="75"/>
      <c r="L85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Spread Sheet</vt:lpstr>
      <vt:lpstr>Abbreviated </vt:lpstr>
      <vt:lpstr>OnOneHost</vt:lpstr>
      <vt:lpstr>CrossHostEOP</vt:lpstr>
      <vt:lpstr>CrossHostSurvivorEOP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Emma (espencer@uidaho.edu)</dc:creator>
  <cp:lastModifiedBy>james van leuven</cp:lastModifiedBy>
  <dcterms:created xsi:type="dcterms:W3CDTF">2022-11-23T16:28:47Z</dcterms:created>
  <dcterms:modified xsi:type="dcterms:W3CDTF">2024-06-29T22:14:33Z</dcterms:modified>
</cp:coreProperties>
</file>