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Jake Tweedle\Documents\Chemical Processes\Energy Balance\"/>
    </mc:Choice>
  </mc:AlternateContent>
  <xr:revisionPtr revIDLastSave="0" documentId="12_ncr:500000_{4CB178D7-E505-4862-82EF-23E6282A19AF}" xr6:coauthVersionLast="31" xr6:coauthVersionMax="31" xr10:uidLastSave="{00000000-0000-0000-0000-000000000000}"/>
  <bookViews>
    <workbookView xWindow="0" yWindow="0" windowWidth="19200" windowHeight="8256" activeTab="7" xr2:uid="{00000000-000D-0000-FFFF-FFFF00000000}"/>
  </bookViews>
  <sheets>
    <sheet name="Stream Table" sheetId="2" r:id="rId1"/>
    <sheet name="1" sheetId="3" r:id="rId2"/>
    <sheet name="2" sheetId="1" r:id="rId3"/>
    <sheet name="3" sheetId="4" r:id="rId4"/>
    <sheet name="4" sheetId="5" r:id="rId5"/>
    <sheet name="4 cont" sheetId="6" r:id="rId6"/>
    <sheet name="5" sheetId="7" r:id="rId7"/>
    <sheet name="6" sheetId="11" r:id="rId8"/>
    <sheet name="7" sheetId="8" r:id="rId9"/>
    <sheet name="8" sheetId="9" r:id="rId10"/>
    <sheet name="9" sheetId="10" r:id="rId11"/>
  </sheets>
  <externalReferences>
    <externalReference r:id="rId12"/>
  </externalReferences>
  <definedNames>
    <definedName name="_xlnm.Print_Titles" localSheetId="0">'Stream Table'!$B:$B,'Stream Table'!$1:$1</definedName>
    <definedName name="solver_adj" localSheetId="5" hidden="1">'4 cont'!$D$82</definedName>
    <definedName name="solver_adj" localSheetId="9" hidden="1">'8'!$D$41</definedName>
    <definedName name="solver_cvg" localSheetId="5" hidden="1">0.0001</definedName>
    <definedName name="solver_cvg" localSheetId="9" hidden="1">0.0001</definedName>
    <definedName name="solver_drv" localSheetId="5" hidden="1">1</definedName>
    <definedName name="solver_drv" localSheetId="9" hidden="1">1</definedName>
    <definedName name="solver_eng" localSheetId="5" hidden="1">1</definedName>
    <definedName name="solver_eng" localSheetId="9" hidden="1">1</definedName>
    <definedName name="solver_est" localSheetId="5" hidden="1">1</definedName>
    <definedName name="solver_est" localSheetId="9" hidden="1">1</definedName>
    <definedName name="solver_itr" localSheetId="5" hidden="1">2147483647</definedName>
    <definedName name="solver_itr" localSheetId="9" hidden="1">2147483647</definedName>
    <definedName name="solver_mip" localSheetId="5" hidden="1">2147483647</definedName>
    <definedName name="solver_mip" localSheetId="9" hidden="1">2147483647</definedName>
    <definedName name="solver_mni" localSheetId="5" hidden="1">30</definedName>
    <definedName name="solver_mni" localSheetId="9" hidden="1">30</definedName>
    <definedName name="solver_mrt" localSheetId="5" hidden="1">0.075</definedName>
    <definedName name="solver_mrt" localSheetId="9" hidden="1">0.075</definedName>
    <definedName name="solver_msl" localSheetId="5" hidden="1">2</definedName>
    <definedName name="solver_msl" localSheetId="9" hidden="1">2</definedName>
    <definedName name="solver_neg" localSheetId="5" hidden="1">1</definedName>
    <definedName name="solver_neg" localSheetId="9" hidden="1">1</definedName>
    <definedName name="solver_nod" localSheetId="5" hidden="1">2147483647</definedName>
    <definedName name="solver_nod" localSheetId="9" hidden="1">2147483647</definedName>
    <definedName name="solver_num" localSheetId="5" hidden="1">0</definedName>
    <definedName name="solver_num" localSheetId="9" hidden="1">0</definedName>
    <definedName name="solver_nwt" localSheetId="5" hidden="1">1</definedName>
    <definedName name="solver_nwt" localSheetId="9" hidden="1">1</definedName>
    <definedName name="solver_opt" localSheetId="5" hidden="1">'4 cont'!$I$81</definedName>
    <definedName name="solver_opt" localSheetId="9" hidden="1">'8'!$D$122</definedName>
    <definedName name="solver_pre" localSheetId="5" hidden="1">0.000001</definedName>
    <definedName name="solver_pre" localSheetId="9" hidden="1">0.000001</definedName>
    <definedName name="solver_rbv" localSheetId="5" hidden="1">1</definedName>
    <definedName name="solver_rbv" localSheetId="9" hidden="1">1</definedName>
    <definedName name="solver_rlx" localSheetId="5" hidden="1">2</definedName>
    <definedName name="solver_rlx" localSheetId="9" hidden="1">2</definedName>
    <definedName name="solver_rsd" localSheetId="5" hidden="1">0</definedName>
    <definedName name="solver_rsd" localSheetId="9" hidden="1">0</definedName>
    <definedName name="solver_scl" localSheetId="5" hidden="1">1</definedName>
    <definedName name="solver_scl" localSheetId="9" hidden="1">1</definedName>
    <definedName name="solver_sho" localSheetId="5" hidden="1">2</definedName>
    <definedName name="solver_sho" localSheetId="9" hidden="1">2</definedName>
    <definedName name="solver_ssz" localSheetId="5" hidden="1">100</definedName>
    <definedName name="solver_ssz" localSheetId="9" hidden="1">100</definedName>
    <definedName name="solver_tim" localSheetId="5" hidden="1">2147483647</definedName>
    <definedName name="solver_tim" localSheetId="9" hidden="1">2147483647</definedName>
    <definedName name="solver_tol" localSheetId="5" hidden="1">0.01</definedName>
    <definedName name="solver_tol" localSheetId="9" hidden="1">0.01</definedName>
    <definedName name="solver_typ" localSheetId="5" hidden="1">3</definedName>
    <definedName name="solver_typ" localSheetId="9" hidden="1">3</definedName>
    <definedName name="solver_val" localSheetId="5" hidden="1">43335.56</definedName>
    <definedName name="solver_val" localSheetId="9" hidden="1">0</definedName>
    <definedName name="solver_ver" localSheetId="5" hidden="1">3</definedName>
    <definedName name="solver_ver" localSheetId="9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D8" i="10" l="1"/>
  <c r="B5" i="10"/>
  <c r="D122" i="9" l="1"/>
  <c r="D118" i="9"/>
  <c r="D117" i="9"/>
  <c r="D72" i="8"/>
  <c r="G70" i="9"/>
  <c r="D33" i="9"/>
  <c r="H35" i="9" s="1"/>
  <c r="E70" i="9"/>
  <c r="L65" i="9"/>
  <c r="K65" i="9"/>
  <c r="J65" i="9"/>
  <c r="I65" i="9"/>
  <c r="L60" i="9"/>
  <c r="K60" i="9"/>
  <c r="J60" i="9"/>
  <c r="I60" i="9"/>
  <c r="L55" i="9" l="1"/>
  <c r="K55" i="9"/>
  <c r="J55" i="9"/>
  <c r="I55" i="9"/>
  <c r="L50" i="9"/>
  <c r="K50" i="9"/>
  <c r="J50" i="9"/>
  <c r="I50" i="9"/>
  <c r="L45" i="9"/>
  <c r="K45" i="9"/>
  <c r="J45" i="9"/>
  <c r="I45" i="9"/>
  <c r="E71" i="9" l="1"/>
  <c r="E72" i="9" s="1"/>
  <c r="J108" i="9" s="1"/>
  <c r="D27" i="9"/>
  <c r="E25" i="9"/>
  <c r="H24" i="9" s="1"/>
  <c r="K24" i="9" s="1"/>
  <c r="P14" i="9"/>
  <c r="K14" i="9"/>
  <c r="O14" i="9"/>
  <c r="H14" i="9"/>
  <c r="D14" i="9"/>
  <c r="L13" i="9"/>
  <c r="L14" i="9" s="1"/>
  <c r="D4" i="9"/>
  <c r="J14" i="9" s="1"/>
  <c r="D5" i="9"/>
  <c r="N14" i="9" s="1"/>
  <c r="D6" i="9"/>
  <c r="E6" i="9" s="1"/>
  <c r="F6" i="9" s="1"/>
  <c r="D7" i="9"/>
  <c r="R14" i="9" s="1"/>
  <c r="D8" i="9"/>
  <c r="D3" i="9"/>
  <c r="F14" i="9" s="1"/>
  <c r="E3" i="9" l="1"/>
  <c r="F3" i="9" s="1"/>
  <c r="D60" i="9"/>
  <c r="E61" i="9" s="1"/>
  <c r="D65" i="9"/>
  <c r="E66" i="9" s="1"/>
  <c r="E7" i="9"/>
  <c r="F7" i="9" s="1"/>
  <c r="E4" i="9"/>
  <c r="F4" i="9" s="1"/>
  <c r="E5" i="9"/>
  <c r="F5" i="9" s="1"/>
  <c r="D55" i="9"/>
  <c r="E56" i="9" s="1"/>
  <c r="E57" i="9" s="1"/>
  <c r="J110" i="9" s="1"/>
  <c r="D45" i="9"/>
  <c r="E46" i="9" s="1"/>
  <c r="E47" i="9" s="1"/>
  <c r="J109" i="9" s="1"/>
  <c r="D50" i="9"/>
  <c r="E51" i="9" s="1"/>
  <c r="E52" i="9" s="1"/>
  <c r="J111" i="9" s="1"/>
  <c r="D15" i="9"/>
  <c r="D30" i="9" s="1"/>
  <c r="D31" i="9" s="1"/>
  <c r="J36" i="9" s="1"/>
  <c r="L35" i="9" s="1"/>
  <c r="H119" i="8"/>
  <c r="F140" i="8"/>
  <c r="D140" i="8"/>
  <c r="D136" i="8"/>
  <c r="F141" i="8" s="1"/>
  <c r="D131" i="8"/>
  <c r="F133" i="8" s="1"/>
  <c r="D130" i="8"/>
  <c r="L124" i="8"/>
  <c r="K124" i="8"/>
  <c r="J124" i="8"/>
  <c r="I124" i="8"/>
  <c r="I116" i="8"/>
  <c r="D118" i="8"/>
  <c r="D117" i="8"/>
  <c r="C117" i="8"/>
  <c r="C118" i="8"/>
  <c r="I88" i="8"/>
  <c r="I89" i="8" s="1"/>
  <c r="I20" i="8"/>
  <c r="D88" i="8"/>
  <c r="D89" i="8" s="1"/>
  <c r="F80" i="8"/>
  <c r="D79" i="8"/>
  <c r="D69" i="8"/>
  <c r="D70" i="8" s="1"/>
  <c r="F72" i="8" s="1"/>
  <c r="L63" i="8"/>
  <c r="K63" i="8"/>
  <c r="J63" i="8"/>
  <c r="I63" i="8"/>
  <c r="L57" i="8"/>
  <c r="K57" i="8"/>
  <c r="J57" i="8"/>
  <c r="I57" i="8"/>
  <c r="L51" i="8"/>
  <c r="K51" i="8"/>
  <c r="J51" i="8"/>
  <c r="I51" i="8"/>
  <c r="L45" i="8"/>
  <c r="K45" i="8"/>
  <c r="J45" i="8"/>
  <c r="I45" i="8"/>
  <c r="L39" i="8"/>
  <c r="K39" i="8"/>
  <c r="J39" i="8"/>
  <c r="I39" i="8"/>
  <c r="L33" i="8"/>
  <c r="K33" i="8"/>
  <c r="J33" i="8"/>
  <c r="I33" i="8"/>
  <c r="M8" i="8"/>
  <c r="M9" i="8" s="1"/>
  <c r="I24" i="8" s="1"/>
  <c r="P6" i="8"/>
  <c r="I23" i="8" s="1"/>
  <c r="H26" i="8"/>
  <c r="B14" i="8"/>
  <c r="F15" i="8"/>
  <c r="H20" i="8"/>
  <c r="C29" i="8"/>
  <c r="H29" i="8" s="1"/>
  <c r="C28" i="8"/>
  <c r="H28" i="8" s="1"/>
  <c r="C25" i="8"/>
  <c r="C24" i="8"/>
  <c r="H24" i="8" s="1"/>
  <c r="C23" i="8"/>
  <c r="H23" i="8" s="1"/>
  <c r="C22" i="8"/>
  <c r="E22" i="8" s="1"/>
  <c r="C21" i="8"/>
  <c r="E21" i="8" s="1"/>
  <c r="Z17" i="2"/>
  <c r="E20" i="4"/>
  <c r="P17" i="4"/>
  <c r="P12" i="4"/>
  <c r="P11" i="4"/>
  <c r="Z39" i="2"/>
  <c r="E67" i="9" l="1"/>
  <c r="J106" i="9" s="1"/>
  <c r="E62" i="9"/>
  <c r="J105" i="9" s="1"/>
  <c r="O35" i="9"/>
  <c r="B38" i="9" s="1"/>
  <c r="N38" i="9" s="1"/>
  <c r="D78" i="9"/>
  <c r="E78" i="9" s="1"/>
  <c r="D79" i="9"/>
  <c r="D76" i="9"/>
  <c r="D80" i="9"/>
  <c r="B108" i="9" s="1"/>
  <c r="D77" i="9"/>
  <c r="D75" i="9"/>
  <c r="E118" i="8"/>
  <c r="D133" i="8"/>
  <c r="D134" i="8" s="1"/>
  <c r="E125" i="8"/>
  <c r="E126" i="8" s="1"/>
  <c r="E127" i="8" s="1"/>
  <c r="I119" i="8" s="1"/>
  <c r="D73" i="8"/>
  <c r="E58" i="8"/>
  <c r="E59" i="8" s="1"/>
  <c r="J20" i="8"/>
  <c r="E117" i="8"/>
  <c r="D91" i="8"/>
  <c r="Q14" i="8"/>
  <c r="H27" i="8" s="1"/>
  <c r="J23" i="8"/>
  <c r="J24" i="8"/>
  <c r="E24" i="8"/>
  <c r="E64" i="8"/>
  <c r="E65" i="8" s="1"/>
  <c r="E66" i="8" s="1"/>
  <c r="I27" i="8" s="1"/>
  <c r="E23" i="8"/>
  <c r="E34" i="8"/>
  <c r="E35" i="8" s="1"/>
  <c r="E36" i="8" s="1"/>
  <c r="D29" i="8" s="1"/>
  <c r="E29" i="8" s="1"/>
  <c r="E40" i="8"/>
  <c r="E41" i="8" s="1"/>
  <c r="E42" i="8" s="1"/>
  <c r="D28" i="8" s="1"/>
  <c r="E28" i="8" s="1"/>
  <c r="E52" i="8"/>
  <c r="E53" i="8" s="1"/>
  <c r="E54" i="8" s="1"/>
  <c r="I29" i="8" s="1"/>
  <c r="J29" i="8" s="1"/>
  <c r="E25" i="8"/>
  <c r="E46" i="8"/>
  <c r="E47" i="8" s="1"/>
  <c r="E48" i="8" s="1"/>
  <c r="I26" i="8" s="1"/>
  <c r="J26" i="8" s="1"/>
  <c r="I108" i="9" l="1"/>
  <c r="K108" i="9" s="1"/>
  <c r="D108" i="9"/>
  <c r="E76" i="9"/>
  <c r="D96" i="9" s="1"/>
  <c r="I111" i="9" s="1"/>
  <c r="K111" i="9" s="1"/>
  <c r="B104" i="9"/>
  <c r="D104" i="9" s="1"/>
  <c r="E75" i="9"/>
  <c r="D95" i="9" s="1"/>
  <c r="I109" i="9" s="1"/>
  <c r="B103" i="9"/>
  <c r="E79" i="9"/>
  <c r="D97" i="9" s="1"/>
  <c r="B107" i="9"/>
  <c r="D107" i="9" s="1"/>
  <c r="E77" i="9"/>
  <c r="D103" i="9"/>
  <c r="E120" i="8"/>
  <c r="F94" i="8"/>
  <c r="F150" i="8"/>
  <c r="E60" i="8"/>
  <c r="I28" i="8" s="1"/>
  <c r="J28" i="8" s="1"/>
  <c r="E30" i="8"/>
  <c r="J27" i="8"/>
  <c r="I110" i="9" l="1"/>
  <c r="K110" i="9" s="1"/>
  <c r="G97" i="9"/>
  <c r="G96" i="9"/>
  <c r="G95" i="9"/>
  <c r="K109" i="9" s="1"/>
  <c r="D82" i="9"/>
  <c r="D83" i="9" s="1"/>
  <c r="D84" i="9" s="1"/>
  <c r="D86" i="9" s="1"/>
  <c r="J30" i="8"/>
  <c r="D88" i="9" l="1"/>
  <c r="H91" i="9" s="1"/>
  <c r="D87" i="9"/>
  <c r="H90" i="9" s="1"/>
  <c r="H93" i="9" s="1"/>
  <c r="H138" i="8"/>
  <c r="K93" i="9" l="1"/>
  <c r="I105" i="9"/>
  <c r="K105" i="9" s="1"/>
  <c r="L138" i="8"/>
  <c r="O138" i="8" s="1"/>
  <c r="K91" i="9" l="1"/>
  <c r="B106" i="9" s="1"/>
  <c r="D106" i="9"/>
  <c r="F94" i="9"/>
  <c r="I106" i="9" s="1"/>
  <c r="K106" i="9" s="1"/>
  <c r="K112" i="9" s="1"/>
  <c r="D121" i="9" s="1"/>
  <c r="K90" i="9"/>
  <c r="B105" i="9" s="1"/>
  <c r="D105" i="9" s="1"/>
  <c r="D112" i="9" s="1"/>
  <c r="P107" i="8"/>
  <c r="H116" i="8" s="1"/>
  <c r="J116" i="8" s="1"/>
  <c r="B110" i="8"/>
  <c r="D141" i="8"/>
  <c r="D142" i="8" s="1"/>
  <c r="J77" i="8"/>
  <c r="H77" i="8"/>
  <c r="I94" i="9" l="1"/>
  <c r="P110" i="8"/>
  <c r="J119" i="8" s="1"/>
  <c r="J120" i="8" s="1"/>
  <c r="D148" i="8" s="1"/>
  <c r="F149" i="8" s="1"/>
  <c r="H149" i="8" s="1"/>
  <c r="K149" i="8" s="1"/>
  <c r="L77" i="8"/>
  <c r="O77" i="8" s="1"/>
  <c r="D80" i="8" l="1"/>
  <c r="D81" i="8" s="1"/>
  <c r="D86" i="8" l="1"/>
  <c r="F93" i="8" s="1"/>
  <c r="H93" i="8" s="1"/>
  <c r="K93" i="8" s="1"/>
  <c r="D73" i="7"/>
  <c r="D71" i="7"/>
  <c r="J68" i="7"/>
  <c r="D69" i="7" s="1"/>
  <c r="D70" i="7" s="1"/>
  <c r="N68" i="7"/>
  <c r="H68" i="7"/>
  <c r="D68" i="7"/>
  <c r="J60" i="7"/>
  <c r="H60" i="7"/>
  <c r="G20" i="6"/>
  <c r="J20" i="6" s="1"/>
  <c r="D36" i="6" s="1"/>
  <c r="G29" i="6"/>
  <c r="M29" i="6"/>
  <c r="I36" i="6"/>
  <c r="D63" i="7"/>
  <c r="D47" i="7"/>
  <c r="F46" i="7"/>
  <c r="D46" i="7"/>
  <c r="D19" i="7"/>
  <c r="D20" i="7" s="1"/>
  <c r="D44" i="7"/>
  <c r="D43" i="7"/>
  <c r="N42" i="7"/>
  <c r="H42" i="7"/>
  <c r="J42" i="7"/>
  <c r="D42" i="7"/>
  <c r="D35" i="7"/>
  <c r="L25" i="7"/>
  <c r="J25" i="7"/>
  <c r="F25" i="7"/>
  <c r="D25" i="7"/>
  <c r="J18" i="7"/>
  <c r="N18" i="7"/>
  <c r="H18" i="7"/>
  <c r="D18" i="7"/>
  <c r="D15" i="7"/>
  <c r="D14" i="7"/>
  <c r="L60" i="7" l="1"/>
  <c r="G64" i="7" s="1"/>
  <c r="J64" i="7" s="1"/>
  <c r="D22" i="7"/>
  <c r="B25" i="7" s="1"/>
  <c r="D26" i="7" s="1"/>
  <c r="D40" i="7"/>
  <c r="H97" i="6"/>
  <c r="F98" i="6"/>
  <c r="F97" i="6"/>
  <c r="D95" i="6"/>
  <c r="D93" i="6"/>
  <c r="D92" i="6"/>
  <c r="D87" i="6"/>
  <c r="D83" i="6"/>
  <c r="D85" i="6" s="1"/>
  <c r="D89" i="6"/>
  <c r="J89" i="6"/>
  <c r="G89" i="6"/>
  <c r="J85" i="6"/>
  <c r="G85" i="6"/>
  <c r="D69" i="6"/>
  <c r="F65" i="6"/>
  <c r="D65" i="6"/>
  <c r="D66" i="6" s="1"/>
  <c r="D67" i="6" s="1"/>
  <c r="G70" i="6" s="1"/>
  <c r="D72" i="6"/>
  <c r="D81" i="6" s="1"/>
  <c r="J57" i="6"/>
  <c r="H57" i="6"/>
  <c r="D70" i="6"/>
  <c r="D60" i="6"/>
  <c r="D59" i="5"/>
  <c r="D42" i="5"/>
  <c r="D23" i="5"/>
  <c r="L2" i="2"/>
  <c r="P85" i="6" l="1"/>
  <c r="P89" i="6"/>
  <c r="M70" i="6"/>
  <c r="L57" i="6"/>
  <c r="G61" i="6" s="1"/>
  <c r="J61" i="6" s="1"/>
  <c r="D43" i="6"/>
  <c r="G44" i="6" s="1"/>
  <c r="D39" i="6"/>
  <c r="G40" i="6" s="1"/>
  <c r="J40" i="6"/>
  <c r="J44" i="6"/>
  <c r="I81" i="6" l="1"/>
  <c r="D19" i="6"/>
  <c r="G56" i="5"/>
  <c r="D54" i="5"/>
  <c r="G46" i="5"/>
  <c r="D45" i="5"/>
  <c r="D39" i="5"/>
  <c r="J42" i="5" s="1"/>
  <c r="D41" i="5"/>
  <c r="G42" i="5" s="1"/>
  <c r="J46" i="5" l="1"/>
  <c r="F28" i="5"/>
  <c r="J24" i="5"/>
  <c r="I7" i="4" l="1"/>
  <c r="G93" i="1" l="1"/>
  <c r="C46" i="1"/>
  <c r="H16" i="1"/>
  <c r="N16" i="1"/>
  <c r="H21" i="1"/>
  <c r="N21" i="1"/>
  <c r="H26" i="1"/>
  <c r="K9" i="1"/>
  <c r="D8" i="1"/>
  <c r="F65" i="1"/>
  <c r="D41" i="1"/>
  <c r="D28" i="6" l="1"/>
  <c r="D29" i="6" s="1"/>
  <c r="D32" i="5"/>
  <c r="D33" i="5" s="1"/>
  <c r="G95" i="1"/>
  <c r="D97" i="1" s="1"/>
  <c r="C98" i="1" s="1"/>
  <c r="C93" i="1"/>
  <c r="U87" i="1"/>
  <c r="Q87" i="1"/>
  <c r="O87" i="1"/>
  <c r="I88" i="1" s="1"/>
  <c r="I89" i="1" s="1"/>
  <c r="I90" i="1" s="1"/>
  <c r="O95" i="1" s="1"/>
  <c r="K87" i="1"/>
  <c r="I87" i="1"/>
  <c r="E88" i="1" s="1"/>
  <c r="E89" i="1" s="1"/>
  <c r="E90" i="1" s="1"/>
  <c r="E87" i="1"/>
  <c r="F82" i="1"/>
  <c r="F79" i="1"/>
  <c r="E72" i="1" l="1"/>
  <c r="N56" i="1"/>
  <c r="L56" i="1"/>
  <c r="H56" i="1"/>
  <c r="F56" i="1"/>
  <c r="B66" i="1"/>
  <c r="H65" i="1"/>
  <c r="I61" i="1"/>
  <c r="C62" i="1" s="1"/>
  <c r="H28" i="3"/>
  <c r="D31" i="3" s="1"/>
  <c r="H31" i="3" l="1"/>
  <c r="E34" i="3" s="1"/>
  <c r="H34" i="3" s="1"/>
  <c r="D37" i="3" l="1"/>
  <c r="H37" i="3"/>
  <c r="C40" i="3" s="1"/>
  <c r="H40" i="3" l="1"/>
  <c r="F50" i="1" l="1"/>
  <c r="B51" i="1"/>
  <c r="N41" i="1"/>
  <c r="L41" i="1"/>
  <c r="H41" i="1"/>
  <c r="F41" i="1"/>
  <c r="H50" i="1"/>
  <c r="I46" i="1"/>
  <c r="C47" i="1" s="1"/>
  <c r="H35" i="1"/>
  <c r="F35" i="1"/>
  <c r="I31" i="1"/>
  <c r="F26" i="1"/>
  <c r="L21" i="1"/>
  <c r="F21" i="1"/>
  <c r="L16" i="1"/>
  <c r="F16" i="1"/>
  <c r="A8" i="2"/>
  <c r="A9" i="2"/>
  <c r="A22" i="2"/>
  <c r="A23" i="2" s="1"/>
  <c r="A35" i="2"/>
  <c r="A36" i="2" s="1"/>
  <c r="D21" i="1" l="1"/>
  <c r="P14" i="4"/>
  <c r="P13" i="4"/>
  <c r="D24" i="6"/>
  <c r="D28" i="5"/>
  <c r="D29" i="5" s="1"/>
  <c r="D30" i="5" s="1"/>
  <c r="D56" i="1"/>
  <c r="C61" i="1"/>
  <c r="J20" i="5"/>
  <c r="D38" i="6"/>
  <c r="D40" i="6" s="1"/>
  <c r="P40" i="6" s="1"/>
  <c r="F24" i="6"/>
  <c r="D25" i="6" l="1"/>
  <c r="D26" i="6" s="1"/>
  <c r="D44" i="5"/>
  <c r="D46" i="5" s="1"/>
  <c r="P46" i="5" s="1"/>
  <c r="J56" i="1"/>
  <c r="P18" i="4"/>
  <c r="E21" i="4" s="1"/>
  <c r="P19" i="4"/>
  <c r="E22" i="4" s="1"/>
  <c r="D42" i="6"/>
  <c r="D44" i="6" s="1"/>
  <c r="P44" i="6" s="1"/>
  <c r="D57" i="1"/>
  <c r="D53" i="5"/>
  <c r="D56" i="5" s="1"/>
  <c r="D65" i="1"/>
  <c r="C34" i="3"/>
  <c r="D84" i="1"/>
  <c r="G84" i="1" s="1"/>
  <c r="C87" i="1"/>
  <c r="D35" i="1"/>
  <c r="D26" i="1"/>
  <c r="D27" i="1" s="1"/>
  <c r="G31" i="1" s="1"/>
  <c r="D40" i="5"/>
  <c r="P42" i="5" s="1"/>
  <c r="D48" i="5" s="1"/>
  <c r="D31" i="6" s="1"/>
  <c r="G33" i="5"/>
  <c r="M33" i="5" s="1"/>
  <c r="J16" i="6"/>
  <c r="H16" i="6" l="1"/>
  <c r="L16" i="6" s="1"/>
  <c r="H20" i="5"/>
  <c r="L20" i="5" s="1"/>
  <c r="J41" i="1"/>
  <c r="D42" i="1" s="1"/>
  <c r="D50" i="1"/>
  <c r="G92" i="1"/>
  <c r="J21" i="1"/>
  <c r="D22" i="1" s="1"/>
  <c r="I22" i="4"/>
  <c r="I21" i="4"/>
  <c r="G61" i="1"/>
  <c r="G46" i="1" l="1"/>
  <c r="K61" i="1"/>
  <c r="K46" i="1"/>
  <c r="E31" i="1"/>
  <c r="E93" i="1"/>
  <c r="E19" i="4"/>
  <c r="I19" i="4" l="1"/>
  <c r="C31" i="1" l="1"/>
  <c r="D16" i="1"/>
  <c r="J16" i="1" l="1"/>
  <c r="D17" i="1" s="1"/>
  <c r="K31" i="1" s="1"/>
  <c r="E32" i="1" s="1"/>
  <c r="E46" i="1" s="1"/>
  <c r="E47" i="1" s="1"/>
  <c r="B50" i="1" s="1"/>
  <c r="B35" i="1" l="1"/>
  <c r="D36" i="1" s="1"/>
  <c r="E61" i="1"/>
  <c r="G72" i="1" l="1"/>
  <c r="E73" i="1" s="1"/>
  <c r="D82" i="1" s="1"/>
  <c r="D83" i="1" s="1"/>
  <c r="E62" i="1"/>
  <c r="D51" i="1"/>
  <c r="D79" i="1"/>
  <c r="D80" i="1" s="1"/>
  <c r="G87" i="1" s="1"/>
  <c r="C88" i="1" s="1"/>
  <c r="C89" i="1" s="1"/>
  <c r="M87" i="1"/>
  <c r="G88" i="1" s="1"/>
  <c r="G89" i="1" s="1"/>
  <c r="C90" i="1" s="1"/>
  <c r="S87" i="1"/>
  <c r="K88" i="1" s="1"/>
  <c r="K89" i="1" s="1"/>
  <c r="G90" i="1" s="1"/>
  <c r="K95" i="1" s="1"/>
  <c r="C95" i="1" l="1"/>
  <c r="E95" i="1"/>
  <c r="C97" i="1" s="1"/>
  <c r="K90" i="1"/>
  <c r="Q95" i="1" s="1"/>
  <c r="F97" i="1" s="1"/>
  <c r="B65" i="1"/>
  <c r="D66" i="1" s="1"/>
  <c r="D52" i="5" l="1"/>
  <c r="J56" i="5" s="1"/>
  <c r="P56" i="5" s="1"/>
  <c r="K3" i="4"/>
  <c r="E5" i="4" s="1"/>
  <c r="F9" i="4" s="1"/>
  <c r="H12" i="4" s="1"/>
  <c r="E23" i="4" s="1"/>
  <c r="E98" i="1"/>
  <c r="E99" i="1" l="1"/>
  <c r="E101" i="1"/>
  <c r="E102" i="1" s="1"/>
  <c r="I23" i="4"/>
  <c r="H14" i="4" s="1"/>
  <c r="G23" i="4"/>
  <c r="G21" i="4"/>
  <c r="G22" i="4"/>
  <c r="G19" i="4"/>
  <c r="K23" i="4" l="1"/>
  <c r="I20" i="4"/>
  <c r="K19" i="4"/>
  <c r="K22" i="4"/>
  <c r="K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Trey Heath</author>
  </authors>
  <commentList>
    <comment ref="D3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Trey Heath:</t>
        </r>
        <r>
          <rPr>
            <sz val="9"/>
            <color indexed="81"/>
            <rFont val="Tahoma"/>
            <family val="2"/>
          </rPr>
          <t xml:space="preserve">
Calculated Earlier on Sheet 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Trey Heath</author>
  </authors>
  <commentList>
    <comment ref="D2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Trey Heath:</t>
        </r>
        <r>
          <rPr>
            <sz val="9"/>
            <color indexed="81"/>
            <rFont val="Tahoma"/>
            <family val="2"/>
          </rPr>
          <t xml:space="preserve">
Calculated Earlier on Sheet 2
</t>
        </r>
      </text>
    </comment>
    <comment ref="D3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Trey Heath:</t>
        </r>
        <r>
          <rPr>
            <sz val="9"/>
            <color indexed="81"/>
            <rFont val="Tahoma"/>
            <family val="2"/>
          </rPr>
          <t xml:space="preserve">
Calculated Earlier in sheet 4
</t>
        </r>
      </text>
    </comment>
    <comment ref="D6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Trey Heath:</t>
        </r>
        <r>
          <rPr>
            <sz val="9"/>
            <color indexed="81"/>
            <rFont val="Tahoma"/>
            <family val="2"/>
          </rPr>
          <t xml:space="preserve">
Calculated Earlier on Sheet 2
</t>
        </r>
      </text>
    </comment>
    <comment ref="D7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Trey Heath:</t>
        </r>
        <r>
          <rPr>
            <sz val="9"/>
            <color indexed="81"/>
            <rFont val="Tahoma"/>
            <family val="2"/>
          </rPr>
          <t xml:space="preserve">
Calculated Earlier in sheet 4
</t>
        </r>
      </text>
    </comment>
  </commentList>
</comments>
</file>

<file path=xl/sharedStrings.xml><?xml version="1.0" encoding="utf-8"?>
<sst xmlns="http://schemas.openxmlformats.org/spreadsheetml/2006/main" count="1875" uniqueCount="412">
  <si>
    <t>Oxygen</t>
  </si>
  <si>
    <t>Nitrogen</t>
  </si>
  <si>
    <t>Na2CO3.H2O</t>
  </si>
  <si>
    <t>CO2</t>
  </si>
  <si>
    <t>H20</t>
  </si>
  <si>
    <t>Na2SO4</t>
  </si>
  <si>
    <t>NaCl</t>
  </si>
  <si>
    <t>NaHCO3(total)</t>
  </si>
  <si>
    <t>NaHCO3(s)</t>
  </si>
  <si>
    <t>NaHCO3(aq)</t>
  </si>
  <si>
    <t>Na2CO3</t>
  </si>
  <si>
    <t>(kmol/s)</t>
  </si>
  <si>
    <t>Mole Flow</t>
  </si>
  <si>
    <t>Na2CO3*H2O</t>
  </si>
  <si>
    <t>(% weight)</t>
  </si>
  <si>
    <t>Mass Fraction</t>
  </si>
  <si>
    <t>Total</t>
  </si>
  <si>
    <t>(kg/s)</t>
  </si>
  <si>
    <t>Total Mass Flow(Kg/s)</t>
  </si>
  <si>
    <t>P(bar)</t>
  </si>
  <si>
    <r>
      <t>T(C</t>
    </r>
    <r>
      <rPr>
        <sz val="11"/>
        <color theme="1"/>
        <rFont val="Calibri"/>
        <family val="2"/>
      </rPr>
      <t>°)</t>
    </r>
  </si>
  <si>
    <t>P</t>
  </si>
  <si>
    <t>7B</t>
  </si>
  <si>
    <t>Streams</t>
  </si>
  <si>
    <t>Heat Capacities</t>
  </si>
  <si>
    <t xml:space="preserve">Brine </t>
  </si>
  <si>
    <t>cal/g.oC</t>
  </si>
  <si>
    <t xml:space="preserve"> =</t>
  </si>
  <si>
    <t>*</t>
  </si>
  <si>
    <t>+</t>
  </si>
  <si>
    <t>m</t>
  </si>
  <si>
    <t>T12</t>
  </si>
  <si>
    <t>H`(aq.NaHCO3)</t>
  </si>
  <si>
    <t>C (aq.NaHCO3)</t>
  </si>
  <si>
    <t>cal/g</t>
  </si>
  <si>
    <t>H'(cr.NaHCO3)</t>
  </si>
  <si>
    <t>C (Cr.NaHCO3)</t>
  </si>
  <si>
    <t>T18</t>
  </si>
  <si>
    <t>T11</t>
  </si>
  <si>
    <t>→</t>
  </si>
  <si>
    <t>Also,</t>
  </si>
  <si>
    <t>C (Brine)</t>
  </si>
  <si>
    <t>T2</t>
  </si>
  <si>
    <t>H3`</t>
  </si>
  <si>
    <t>And,</t>
  </si>
  <si>
    <t>T3</t>
  </si>
  <si>
    <t>oC</t>
  </si>
  <si>
    <t>T10</t>
  </si>
  <si>
    <t>H4`</t>
  </si>
  <si>
    <t>T4</t>
  </si>
  <si>
    <t>kW</t>
  </si>
  <si>
    <t xml:space="preserve">      =</t>
  </si>
  <si>
    <r>
      <t>Ẇ</t>
    </r>
    <r>
      <rPr>
        <vertAlign val="subscript"/>
        <sz val="11"/>
        <color theme="1"/>
        <rFont val="Calibri"/>
        <family val="2"/>
      </rPr>
      <t>supply</t>
    </r>
  </si>
  <si>
    <t>w</t>
  </si>
  <si>
    <t xml:space="preserve">       =</t>
  </si>
  <si>
    <r>
      <rPr>
        <sz val="11"/>
        <color theme="1"/>
        <rFont val="Calibri"/>
        <family val="2"/>
      </rPr>
      <t>Ẇ</t>
    </r>
    <r>
      <rPr>
        <vertAlign val="subscript"/>
        <sz val="11"/>
        <color theme="1"/>
        <rFont val="Calibri"/>
        <family val="2"/>
      </rPr>
      <t>s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</si>
  <si>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</si>
  <si>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>s</t>
  </si>
  <si>
    <t>W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</si>
  <si>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</si>
  <si>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kg</t>
  </si>
  <si>
    <t xml:space="preserve">         =</t>
  </si>
  <si>
    <t>ṁ(gΔz+Ḟ)</t>
  </si>
  <si>
    <t xml:space="preserve">        =</t>
  </si>
  <si>
    <t>Ḟ</t>
  </si>
  <si>
    <r>
      <t>g</t>
    </r>
    <r>
      <rPr>
        <sz val="11"/>
        <color theme="1"/>
        <rFont val="Calibri"/>
        <family val="2"/>
      </rPr>
      <t>Δz</t>
    </r>
  </si>
  <si>
    <t>For brine temp as it leaves 1st heat exchanger (T3),</t>
  </si>
  <si>
    <t>For brine temp as it leaves 2nd heat exchanger (T4),</t>
  </si>
  <si>
    <t>H9`</t>
  </si>
  <si>
    <t>T9</t>
  </si>
  <si>
    <t>H5`</t>
  </si>
  <si>
    <t>T5</t>
  </si>
  <si>
    <t>Extra Credit</t>
  </si>
  <si>
    <t>Given</t>
  </si>
  <si>
    <t>T13</t>
  </si>
  <si>
    <t>At the first heat exchanger, heat gained by brine=heat lost by Cr.NaHCO3 and Aq.NaHCO3</t>
  </si>
  <si>
    <t>m (Brine)</t>
  </si>
  <si>
    <t xml:space="preserve">So, </t>
  </si>
  <si>
    <t>ΔT</t>
  </si>
  <si>
    <t xml:space="preserve">m (Cr. NaHCO3) </t>
  </si>
  <si>
    <t>ΔT for brine</t>
  </si>
  <si>
    <t>-</t>
  </si>
  <si>
    <t xml:space="preserve">ΔT </t>
  </si>
  <si>
    <t>ΔT for NaHCO3</t>
  </si>
  <si>
    <t>m (aq.NaHCO3)</t>
  </si>
  <si>
    <t>We have,</t>
  </si>
  <si>
    <t>Then, our above equation becomes,</t>
  </si>
  <si>
    <t>g</t>
  </si>
  <si>
    <t>Also, we know,</t>
  </si>
  <si>
    <t>m (Cr.NaHCO3)</t>
  </si>
  <si>
    <t>kg/s</t>
  </si>
  <si>
    <t>Then, plugging in this value, we get,</t>
  </si>
  <si>
    <t>Again, isolating a system with the 1st heat exchanger and 3rd crystallizer, the overall enthalpy balance is,</t>
  </si>
  <si>
    <t>cal</t>
  </si>
  <si>
    <t>H11'</t>
  </si>
  <si>
    <t>H18'</t>
  </si>
  <si>
    <t>H2'</t>
  </si>
  <si>
    <t>cal/s</t>
  </si>
  <si>
    <t>H'(aq.NaHCO3)</t>
  </si>
  <si>
    <t>m(Cr.NaHCO3)</t>
  </si>
  <si>
    <t>H10'</t>
  </si>
  <si>
    <t>Again, isolating a system with the 2nd heat exchanger and 2nd crystallizer, the overall enthalpy balance is,</t>
  </si>
  <si>
    <t>H3'</t>
  </si>
  <si>
    <t>H4'</t>
  </si>
  <si>
    <t>Again, isolating a system with the 3rd heat exchanger and 1st crystallizer, the overall enthalpy balance is,</t>
  </si>
  <si>
    <t>H9'</t>
  </si>
  <si>
    <t>H5'</t>
  </si>
  <si>
    <t xml:space="preserve">H NaHCO3 crystallization </t>
  </si>
  <si>
    <t>kcal/mol</t>
  </si>
  <si>
    <t>kcal</t>
  </si>
  <si>
    <t>mol</t>
  </si>
  <si>
    <t>Referecne T</t>
  </si>
  <si>
    <t>For brine temp as it leaves 3rd heat exchanger (T5),</t>
  </si>
  <si>
    <t>H crystal</t>
  </si>
  <si>
    <t>m (filtrate)</t>
  </si>
  <si>
    <t>g/s</t>
  </si>
  <si>
    <t xml:space="preserve">Water lost in the Gas Discharge </t>
  </si>
  <si>
    <t>A</t>
  </si>
  <si>
    <t>B</t>
  </si>
  <si>
    <t>C</t>
  </si>
  <si>
    <t xml:space="preserve">Mols in Stream 23 </t>
  </si>
  <si>
    <t>Water</t>
  </si>
  <si>
    <t>T</t>
  </si>
  <si>
    <t>p*(T)</t>
  </si>
  <si>
    <t>mmHg</t>
  </si>
  <si>
    <t xml:space="preserve"> = </t>
  </si>
  <si>
    <t>Bar</t>
  </si>
  <si>
    <r>
      <t>y</t>
    </r>
    <r>
      <rPr>
        <vertAlign val="subscript"/>
        <sz val="11"/>
        <color theme="1"/>
        <rFont val="Calibri"/>
        <family val="2"/>
        <scheme val="minor"/>
      </rPr>
      <t>i,w</t>
    </r>
  </si>
  <si>
    <t>mols of CO2</t>
  </si>
  <si>
    <t>kmol/s</t>
  </si>
  <si>
    <t>mols water</t>
  </si>
  <si>
    <t>mols of air</t>
  </si>
  <si>
    <t xml:space="preserve">mols of oxygen </t>
  </si>
  <si>
    <t xml:space="preserve">kmol/s </t>
  </si>
  <si>
    <t>Water lost</t>
  </si>
  <si>
    <t>kg/hr</t>
  </si>
  <si>
    <t xml:space="preserve">mols of nitrogen </t>
  </si>
  <si>
    <t>Mols in Stream 42</t>
  </si>
  <si>
    <t xml:space="preserve">mols air </t>
  </si>
  <si>
    <t xml:space="preserve">Gas Dicharge </t>
  </si>
  <si>
    <t>mol frac</t>
  </si>
  <si>
    <t>mass frac</t>
  </si>
  <si>
    <t>mols of Nitrogen</t>
  </si>
  <si>
    <t xml:space="preserve">Air </t>
  </si>
  <si>
    <t xml:space="preserve"> ------------</t>
  </si>
  <si>
    <t xml:space="preserve"> -------------</t>
  </si>
  <si>
    <t xml:space="preserve">Oxygen </t>
  </si>
  <si>
    <t>Na2CO3(aq) + CO2(g) + H2O(g) ---&gt; 2NaHCO3(aq)</t>
  </si>
  <si>
    <t>ξ</t>
  </si>
  <si>
    <t xml:space="preserve"> -</t>
  </si>
  <si>
    <t>γ(Na2CO3)</t>
  </si>
  <si>
    <t>n(NaHCO3),out</t>
  </si>
  <si>
    <t>n(NaHCO3),in</t>
  </si>
  <si>
    <t>H`rxn</t>
  </si>
  <si>
    <t>Hrxn</t>
  </si>
  <si>
    <t>kcal/s</t>
  </si>
  <si>
    <t>From stream 5 to 9,</t>
  </si>
  <si>
    <t>m(Cr.NaHCO3) formed</t>
  </si>
  <si>
    <t>m(Cr.NaHCO3) @9</t>
  </si>
  <si>
    <t>m(Cr.NaHCO3) @5</t>
  </si>
  <si>
    <t>Heat Transfer Required (Q)</t>
  </si>
  <si>
    <t>Energy Balance</t>
  </si>
  <si>
    <t>H`crys</t>
  </si>
  <si>
    <t xml:space="preserve"> </t>
  </si>
  <si>
    <t>Hcrys</t>
  </si>
  <si>
    <t xml:space="preserve">cal </t>
  </si>
  <si>
    <t xml:space="preserve"> *</t>
  </si>
  <si>
    <t xml:space="preserve"> * </t>
  </si>
  <si>
    <t>H of 9</t>
  </si>
  <si>
    <t>Cp(Cr.NaHCO3)</t>
  </si>
  <si>
    <t>=</t>
  </si>
  <si>
    <t>Temp @ 9</t>
  </si>
  <si>
    <t xml:space="preserve">oC </t>
  </si>
  <si>
    <t>H of crys@9</t>
  </si>
  <si>
    <t>g.oC</t>
  </si>
  <si>
    <t>m(NaHCO3.filt) @9</t>
  </si>
  <si>
    <t>Cp(NaHCO3.filt)</t>
  </si>
  <si>
    <t xml:space="preserve">H of filt@9 </t>
  </si>
  <si>
    <t>m(Brine)@5</t>
  </si>
  <si>
    <t>Cp Brine</t>
  </si>
  <si>
    <t>Temp @ 5</t>
  </si>
  <si>
    <t>H of 5</t>
  </si>
  <si>
    <t xml:space="preserve">Q </t>
  </si>
  <si>
    <t xml:space="preserve">Temperature at Stream 8 </t>
  </si>
  <si>
    <t xml:space="preserve">Energy balance </t>
  </si>
  <si>
    <t>m(Cr.NaHCO3) @8</t>
  </si>
  <si>
    <t>H of Stream 9</t>
  </si>
  <si>
    <t>H of Stream 8</t>
  </si>
  <si>
    <t xml:space="preserve">Test cell H of 8 = </t>
  </si>
  <si>
    <t>Temp @ 8</t>
  </si>
  <si>
    <t>m(NaHCO3.filt) @8</t>
  </si>
  <si>
    <t>H of filt @8</t>
  </si>
  <si>
    <t>H of crys @8</t>
  </si>
  <si>
    <t>(Xweight)</t>
  </si>
  <si>
    <t>(Using solver on above equation)</t>
  </si>
  <si>
    <t>From stream 8 to 9,</t>
  </si>
  <si>
    <t>From stream 7B to 8,</t>
  </si>
  <si>
    <t>m(Cr.NaHCO3) @7B</t>
  </si>
  <si>
    <t>Energy Balance:</t>
  </si>
  <si>
    <t>H of Stream 7B</t>
  </si>
  <si>
    <t>Temp @ 7B</t>
  </si>
  <si>
    <t>H of crys @7B</t>
  </si>
  <si>
    <t>m(NaHCO3.filt) @7B</t>
  </si>
  <si>
    <t>H of filt @7B</t>
  </si>
  <si>
    <t xml:space="preserve">Test cell H of 7B = </t>
  </si>
  <si>
    <t>From sheet 4, the amount of heat necessary to raise temp before carbonator is,</t>
  </si>
  <si>
    <t>Q</t>
  </si>
  <si>
    <t>kJ/s</t>
  </si>
  <si>
    <t>From the saturated steam tables, @ 3bar,</t>
  </si>
  <si>
    <t>H`steam</t>
  </si>
  <si>
    <t>kJ/kg</t>
  </si>
  <si>
    <t>Then,</t>
  </si>
  <si>
    <t>amount of steam</t>
  </si>
  <si>
    <t>Looking at carbonator 1, (figure below)</t>
  </si>
  <si>
    <t>60oC</t>
  </si>
  <si>
    <t>T=?</t>
  </si>
  <si>
    <t>We need carbonator 1 to operate at 60oC, so temp at 8 = 60oC</t>
  </si>
  <si>
    <t>For temp at 7B, we use enthalpy balance,</t>
  </si>
  <si>
    <t>From previous calculations, we have</t>
  </si>
  <si>
    <t>ΔHrxn</t>
  </si>
  <si>
    <t>ΔHcrys</t>
  </si>
  <si>
    <t>H8'</t>
  </si>
  <si>
    <t>T8</t>
  </si>
  <si>
    <t>C (filtrate)</t>
  </si>
  <si>
    <t>Then, using above balance,</t>
  </si>
  <si>
    <t>H7B'</t>
  </si>
  <si>
    <t>T7B</t>
  </si>
  <si>
    <t>Now, to make the 2nd carbonator operate at 60oC too, we need to add a heat exchanger in between streams 8 and 9,</t>
  </si>
  <si>
    <t>8B</t>
  </si>
  <si>
    <t>T=60oC</t>
  </si>
  <si>
    <t>T8B=63.79oC</t>
  </si>
  <si>
    <t>T8=60oC</t>
  </si>
  <si>
    <t>From previous calculations, the temperature at stream before carb 2 is,</t>
  </si>
  <si>
    <t>T8B</t>
  </si>
  <si>
    <t>Q2</t>
  </si>
  <si>
    <t xml:space="preserve">  Q2</t>
  </si>
  <si>
    <t xml:space="preserve">Then, </t>
  </si>
  <si>
    <t>H8B'</t>
  </si>
  <si>
    <t>Combining precarbonator and  stream 7, (figure below),</t>
  </si>
  <si>
    <t>Q1</t>
  </si>
  <si>
    <t>T=63.61oC</t>
  </si>
  <si>
    <t>T=43.73oC</t>
  </si>
  <si>
    <t>H5</t>
  </si>
  <si>
    <t>NaHCO3</t>
  </si>
  <si>
    <t>kmol</t>
  </si>
  <si>
    <t>H2O</t>
  </si>
  <si>
    <t>T1</t>
  </si>
  <si>
    <t>a*10^3</t>
  </si>
  <si>
    <t>b*10^5</t>
  </si>
  <si>
    <t>c*10^8</t>
  </si>
  <si>
    <t>d*10^12</t>
  </si>
  <si>
    <t>a</t>
  </si>
  <si>
    <t>b</t>
  </si>
  <si>
    <t>c</t>
  </si>
  <si>
    <t>d</t>
  </si>
  <si>
    <t>H`(CO2)</t>
  </si>
  <si>
    <t>kJ/mol</t>
  </si>
  <si>
    <t>O2</t>
  </si>
  <si>
    <t>N2</t>
  </si>
  <si>
    <t>H`(O2)</t>
  </si>
  <si>
    <t>H`(N2)</t>
  </si>
  <si>
    <t>H`(H2O)</t>
  </si>
  <si>
    <t>mol/s</t>
  </si>
  <si>
    <t>Q (steam)</t>
  </si>
  <si>
    <t>From the saturated steam tables,</t>
  </si>
  <si>
    <t>m' (steam)</t>
  </si>
  <si>
    <t>180oC</t>
  </si>
  <si>
    <t>CO2,H2O,air</t>
  </si>
  <si>
    <t>2nd part</t>
  </si>
  <si>
    <t>Na2CO3.H2O ---&gt; Na2CO3 + H2O</t>
  </si>
  <si>
    <t>kmol Na2CO3</t>
  </si>
  <si>
    <t>kmol Na2CO3.H2O</t>
  </si>
  <si>
    <t>kg Na2CO3</t>
  </si>
  <si>
    <t>n(Na2CO3.H2O),out</t>
  </si>
  <si>
    <t>n(Na2CO3.H2O),in</t>
  </si>
  <si>
    <t>Given:</t>
  </si>
  <si>
    <t>H`rxn@25oC</t>
  </si>
  <si>
    <t xml:space="preserve">              Sat.d steam</t>
  </si>
  <si>
    <t xml:space="preserve">                      32 bars</t>
  </si>
  <si>
    <t>Thus,</t>
  </si>
  <si>
    <t xml:space="preserve">           H2O</t>
  </si>
  <si>
    <t>Na2CO3(s)</t>
  </si>
  <si>
    <t>Dense soda ash</t>
  </si>
  <si>
    <t>1st part</t>
  </si>
  <si>
    <t xml:space="preserve">    180oC</t>
  </si>
  <si>
    <t>kg/h</t>
  </si>
  <si>
    <t>γ(NaHCO3)</t>
  </si>
  <si>
    <t>H2O(l)</t>
  </si>
  <si>
    <t>H2O(v)</t>
  </si>
  <si>
    <t>Mass rate</t>
  </si>
  <si>
    <t>IN</t>
  </si>
  <si>
    <t>OUT</t>
  </si>
  <si>
    <t>Sp. Enthalpy</t>
  </si>
  <si>
    <t>kg H2O</t>
  </si>
  <si>
    <t>kg/s H2O</t>
  </si>
  <si>
    <t>H2O formed</t>
  </si>
  <si>
    <t>Reference temps is 25oC</t>
  </si>
  <si>
    <t>C (NaCl)</t>
  </si>
  <si>
    <t>J/g.oC</t>
  </si>
  <si>
    <t xml:space="preserve">C (Na2SO4) </t>
  </si>
  <si>
    <t>J/mol.K</t>
  </si>
  <si>
    <t>J/kg.K</t>
  </si>
  <si>
    <t>kcal/kg</t>
  </si>
  <si>
    <t>H (vap)</t>
  </si>
  <si>
    <t>m(H2O,l)</t>
  </si>
  <si>
    <t>H (vap@25oC)</t>
  </si>
  <si>
    <t>For water,</t>
  </si>
  <si>
    <t>O2,in</t>
  </si>
  <si>
    <t>N2,in</t>
  </si>
  <si>
    <t>CO2,out</t>
  </si>
  <si>
    <t>O2,out</t>
  </si>
  <si>
    <t>N2,out</t>
  </si>
  <si>
    <t>H2O,out</t>
  </si>
  <si>
    <t>(kcal/kg)</t>
  </si>
  <si>
    <t xml:space="preserve">Mass rate </t>
  </si>
  <si>
    <t xml:space="preserve">Sp enthalpy </t>
  </si>
  <si>
    <t>Enthalpy</t>
  </si>
  <si>
    <t>(kcal/s)</t>
  </si>
  <si>
    <t>From Hess's law,</t>
  </si>
  <si>
    <t xml:space="preserve">Hrxn </t>
  </si>
  <si>
    <t>Q(steam)</t>
  </si>
  <si>
    <t>H` (steam,in)</t>
  </si>
  <si>
    <t>H` (liq,out)</t>
  </si>
  <si>
    <t>ΔH` (steam)</t>
  </si>
  <si>
    <t>Mother liquor</t>
  </si>
  <si>
    <t xml:space="preserve">Na2CO3: </t>
  </si>
  <si>
    <t>formed</t>
  </si>
  <si>
    <t>kmol H2O</t>
  </si>
  <si>
    <t>Hrxn@25oC</t>
  </si>
  <si>
    <t>Qsteam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</si>
  <si>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H` (steam)</t>
    </r>
  </si>
  <si>
    <t>Element</t>
  </si>
  <si>
    <t>Wt%</t>
  </si>
  <si>
    <t>Carbon</t>
  </si>
  <si>
    <t>Hydrogen</t>
  </si>
  <si>
    <t>Sulfur</t>
  </si>
  <si>
    <t>Ash</t>
  </si>
  <si>
    <t>HHV</t>
  </si>
  <si>
    <t xml:space="preserve">x(C) </t>
  </si>
  <si>
    <t>x(H)</t>
  </si>
  <si>
    <t>x(O)</t>
  </si>
  <si>
    <t>x(S)</t>
  </si>
  <si>
    <t>C(s) + O2(g) --&gt; CO2(g)</t>
  </si>
  <si>
    <t>S(s) + O2(g) ---&gt; SO2(g)</t>
  </si>
  <si>
    <t>H2(g) + 0.5 O2(g) ---&gt; H2O(l)</t>
  </si>
  <si>
    <t>kJ/kg coal</t>
  </si>
  <si>
    <t>kg H2O formed</t>
  </si>
  <si>
    <t>kg H2O/kg coal</t>
  </si>
  <si>
    <t>kg H2</t>
  </si>
  <si>
    <t xml:space="preserve">kg H2 burned </t>
  </si>
  <si>
    <t>mol H2O/kg coal</t>
  </si>
  <si>
    <t>n (H2O,l)</t>
  </si>
  <si>
    <t>ΔHv(H2O@25oC)</t>
  </si>
  <si>
    <t>LHV</t>
  </si>
  <si>
    <t xml:space="preserve">Using Watson's correlation, </t>
  </si>
  <si>
    <t>ΔH`v(H2O@25oC)</t>
  </si>
  <si>
    <t>m (coal)</t>
  </si>
  <si>
    <t>kcal/kg coal</t>
  </si>
  <si>
    <t>kg coal</t>
  </si>
  <si>
    <t>h</t>
  </si>
  <si>
    <t>metric ton</t>
  </si>
  <si>
    <t>day</t>
  </si>
  <si>
    <t>days</t>
  </si>
  <si>
    <t>yr</t>
  </si>
  <si>
    <t>Tout</t>
  </si>
  <si>
    <t>Tin</t>
  </si>
  <si>
    <t>T27 (Tout)</t>
  </si>
  <si>
    <t>SO2,out</t>
  </si>
  <si>
    <t>H`(ash)</t>
  </si>
  <si>
    <t>Cp</t>
  </si>
  <si>
    <t>Since there is 10% excess air,</t>
  </si>
  <si>
    <t>Air provided</t>
  </si>
  <si>
    <t>O2 provided</t>
  </si>
  <si>
    <t>N2 provided</t>
  </si>
  <si>
    <t>nO2,in</t>
  </si>
  <si>
    <t>nN2,in</t>
  </si>
  <si>
    <t>nO2,out</t>
  </si>
  <si>
    <t>nN2,out</t>
  </si>
  <si>
    <t>Ash, out</t>
  </si>
  <si>
    <t>O2 (in coal)</t>
  </si>
  <si>
    <t>N2 (in coal)</t>
  </si>
  <si>
    <t>nCO2,out</t>
  </si>
  <si>
    <t>nH2O,out</t>
  </si>
  <si>
    <t>O2 reqd.</t>
  </si>
  <si>
    <t>nSO2,out</t>
  </si>
  <si>
    <t>H2O(l),out</t>
  </si>
  <si>
    <t>Assume 1 kg/s of coal.</t>
  </si>
  <si>
    <t>mass rate (kg/s)</t>
  </si>
  <si>
    <t>H2</t>
  </si>
  <si>
    <t>SO2</t>
  </si>
  <si>
    <t>Ash (kg/s)</t>
  </si>
  <si>
    <t>(kcal/mol)</t>
  </si>
  <si>
    <t>We have, the amount of heat required from coal is the toal amount of heat from two dryers in problem 7,</t>
  </si>
  <si>
    <t xml:space="preserve">mass rate </t>
  </si>
  <si>
    <t>O2 needed</t>
  </si>
  <si>
    <t>Air needed</t>
  </si>
  <si>
    <t>O2 reqd for rxn</t>
  </si>
  <si>
    <t>mass rate</t>
  </si>
  <si>
    <t>ΔH</t>
  </si>
  <si>
    <r>
      <t>Q-</t>
    </r>
    <r>
      <rPr>
        <sz val="11"/>
        <color theme="1"/>
        <rFont val="Calibri"/>
        <family val="2"/>
      </rPr>
      <t>ΔH</t>
    </r>
  </si>
  <si>
    <t>kca/s</t>
  </si>
  <si>
    <t>(mol/s)</t>
  </si>
  <si>
    <t>negative of LHV</t>
  </si>
  <si>
    <t>then,</t>
  </si>
  <si>
    <t>From previous semester, the amount of CO2 needed from coal is, (ChE 307 case study Question 9)</t>
  </si>
  <si>
    <t xml:space="preserve">kmol/hr </t>
  </si>
  <si>
    <t>i.e.</t>
  </si>
  <si>
    <t>From the coal burned in question 8,</t>
  </si>
  <si>
    <t>CO2 produced</t>
  </si>
  <si>
    <t>Hence, the CO2 produced is enough to meet process CO2 requirements</t>
  </si>
  <si>
    <t>Reference temp</t>
  </si>
  <si>
    <t>25oC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</si>
</sst>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24"/>
      <color theme="1"/>
      <name val="Times New Roman"/>
      <family val="1"/>
    </font>
    <font>
      <b/>
      <sz val="26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Border="1"/>
    <xf numFmtId="0" fontId="0" fillId="0" borderId="0" xfId="0" applyFont="1" applyBorder="1"/>
    <xf numFmtId="164" fontId="0" fillId="0" borderId="1" xfId="0" applyNumberFormat="1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2" fontId="0" fillId="0" borderId="0" xfId="0" applyNumberForma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2" fontId="0" fillId="0" borderId="0" xfId="0" applyNumberFormat="1" applyFont="1" applyBorder="1"/>
    <xf numFmtId="0" fontId="0" fillId="0" borderId="1" xfId="0" applyFont="1" applyBorder="1"/>
    <xf numFmtId="0" fontId="0" fillId="0" borderId="0" xfId="0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1" fillId="0" borderId="0" xfId="0" quotePrefix="1" applyFont="1"/>
    <xf numFmtId="0" fontId="5" fillId="0" borderId="0" xfId="0" applyFont="1" applyAlignment="1">
      <alignment horizontal="left" vertical="center"/>
    </xf>
    <xf numFmtId="0" fontId="0" fillId="0" borderId="6" xfId="0" applyBorder="1"/>
    <xf numFmtId="11" fontId="0" fillId="0" borderId="0" xfId="0" applyNumberFormat="1"/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ill="1"/>
    <xf numFmtId="0" fontId="1" fillId="0" borderId="0" xfId="0" applyFont="1"/>
    <xf numFmtId="0" fontId="0" fillId="2" borderId="0" xfId="0" applyFill="1"/>
    <xf numFmtId="2" fontId="0" fillId="0" borderId="0" xfId="0" applyNumberFormat="1" applyFill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1" xfId="0" applyNumberFormat="1" applyFont="1" applyBorder="1"/>
    <xf numFmtId="0" fontId="9" fillId="0" borderId="7" xfId="0" applyFont="1" applyBorder="1" applyAlignment="1">
      <alignment horizontal="right"/>
    </xf>
    <xf numFmtId="0" fontId="9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center"/>
    </xf>
    <xf numFmtId="164" fontId="0" fillId="0" borderId="0" xfId="0" applyNumberFormat="1"/>
    <xf numFmtId="0" fontId="2" fillId="0" borderId="6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/>
    <xf numFmtId="165" fontId="0" fillId="0" borderId="5" xfId="0" applyNumberFormat="1" applyBorder="1"/>
    <xf numFmtId="2" fontId="0" fillId="0" borderId="3" xfId="0" applyNumberFormat="1" applyBorder="1"/>
    <xf numFmtId="0" fontId="1" fillId="0" borderId="0" xfId="0" applyFont="1" applyFill="1" applyBorder="1" applyAlignment="1">
      <alignment horizontal="left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0" fillId="3" borderId="6" xfId="0" applyFill="1" applyBorder="1"/>
    <xf numFmtId="0" fontId="0" fillId="3" borderId="0" xfId="0" applyFill="1" applyBorder="1" applyAlignment="1">
      <alignment horizontal="center"/>
    </xf>
    <xf numFmtId="2" fontId="0" fillId="3" borderId="6" xfId="0" applyNumberFormat="1" applyFill="1" applyBorder="1"/>
    <xf numFmtId="1" fontId="0" fillId="0" borderId="0" xfId="0" applyNumberFormat="1"/>
    <xf numFmtId="0" fontId="1" fillId="3" borderId="0" xfId="0" applyFont="1" applyFill="1"/>
    <xf numFmtId="0" fontId="1" fillId="3" borderId="6" xfId="0" applyFont="1" applyFill="1" applyBorder="1"/>
    <xf numFmtId="2" fontId="1" fillId="3" borderId="6" xfId="0" applyNumberFormat="1" applyFont="1" applyFill="1" applyBorder="1"/>
    <xf numFmtId="165" fontId="1" fillId="3" borderId="0" xfId="0" applyNumberFormat="1" applyFont="1" applyFill="1"/>
    <xf numFmtId="0" fontId="0" fillId="0" borderId="0" xfId="0" applyAlignment="1">
      <alignment horizontal="right"/>
    </xf>
    <xf numFmtId="0" fontId="2" fillId="3" borderId="0" xfId="0" applyFont="1" applyFill="1" applyAlignment="1">
      <alignment horizontal="right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/>
    </xf>
    <xf numFmtId="165" fontId="0" fillId="3" borderId="0" xfId="0" applyNumberFormat="1" applyFill="1" applyBorder="1"/>
    <xf numFmtId="0" fontId="0" fillId="0" borderId="10" xfId="0" applyBorder="1"/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4" fontId="0" fillId="0" borderId="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horizontal="right"/>
    </xf>
    <xf numFmtId="0" fontId="0" fillId="0" borderId="16" xfId="0" applyBorder="1"/>
    <xf numFmtId="0" fontId="0" fillId="0" borderId="6" xfId="0" applyFont="1" applyBorder="1"/>
    <xf numFmtId="0" fontId="0" fillId="0" borderId="17" xfId="0" applyBorder="1"/>
    <xf numFmtId="165" fontId="0" fillId="3" borderId="0" xfId="0" applyNumberFormat="1" applyFill="1"/>
    <xf numFmtId="2" fontId="0" fillId="0" borderId="0" xfId="0" applyNumberFormat="1" applyFill="1" applyBorder="1"/>
    <xf numFmtId="0" fontId="15" fillId="0" borderId="0" xfId="1"/>
    <xf numFmtId="165" fontId="0" fillId="0" borderId="0" xfId="0" applyNumberFormat="1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10" xfId="0" applyFill="1" applyBorder="1"/>
    <xf numFmtId="164" fontId="0" fillId="0" borderId="6" xfId="0" applyNumberFormat="1" applyBorder="1"/>
    <xf numFmtId="2" fontId="0" fillId="0" borderId="6" xfId="0" applyNumberFormat="1" applyBorder="1"/>
    <xf numFmtId="0" fontId="2" fillId="0" borderId="0" xfId="0" applyFont="1" applyBorder="1"/>
    <xf numFmtId="166" fontId="0" fillId="0" borderId="0" xfId="0" applyNumberFormat="1"/>
    <xf numFmtId="166" fontId="0" fillId="0" borderId="0" xfId="0" applyNumberFormat="1" applyBorder="1"/>
    <xf numFmtId="165" fontId="0" fillId="0" borderId="0" xfId="0" applyNumberFormat="1" applyBorder="1"/>
    <xf numFmtId="0" fontId="0" fillId="0" borderId="6" xfId="0" applyFill="1" applyBorder="1"/>
    <xf numFmtId="165" fontId="0" fillId="0" borderId="6" xfId="0" applyNumberFormat="1" applyBorder="1"/>
    <xf numFmtId="167" fontId="0" fillId="0" borderId="0" xfId="0" applyNumberFormat="1" applyBorder="1"/>
    <xf numFmtId="0" fontId="0" fillId="4" borderId="0" xfId="0" applyFill="1"/>
    <xf numFmtId="165" fontId="0" fillId="4" borderId="0" xfId="0" applyNumberFormat="1" applyFill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165" fontId="0" fillId="0" borderId="22" xfId="0" applyNumberFormat="1" applyBorder="1"/>
    <xf numFmtId="164" fontId="0" fillId="0" borderId="22" xfId="0" applyNumberFormat="1" applyBorder="1"/>
    <xf numFmtId="0" fontId="0" fillId="0" borderId="23" xfId="0" applyBorder="1"/>
    <xf numFmtId="165" fontId="0" fillId="0" borderId="10" xfId="0" applyNumberFormat="1" applyBorder="1"/>
    <xf numFmtId="164" fontId="0" fillId="0" borderId="24" xfId="0" applyNumberFormat="1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</xdr:row>
      <xdr:rowOff>95250</xdr:rowOff>
    </xdr:from>
    <xdr:to>
      <xdr:col>8</xdr:col>
      <xdr:colOff>617220</xdr:colOff>
      <xdr:row>18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D43CF0-1C41-46C2-88E1-E0169C03A872}"/>
            </a:ext>
          </a:extLst>
        </xdr:cNvPr>
        <xdr:cNvSpPr txBox="1"/>
      </xdr:nvSpPr>
      <xdr:spPr>
        <a:xfrm>
          <a:off x="3810" y="278130"/>
          <a:ext cx="5482590" cy="3036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259080</xdr:colOff>
      <xdr:row>3</xdr:row>
      <xdr:rowOff>121920</xdr:rowOff>
    </xdr:from>
    <xdr:to>
      <xdr:col>4</xdr:col>
      <xdr:colOff>594360</xdr:colOff>
      <xdr:row>10</xdr:row>
      <xdr:rowOff>99060</xdr:rowOff>
    </xdr:to>
    <xdr:sp macro="" textlink="">
      <xdr:nvSpPr>
        <xdr:cNvPr id="3" name="Cylinder 2">
          <a:extLst>
            <a:ext uri="{FF2B5EF4-FFF2-40B4-BE49-F238E27FC236}">
              <a16:creationId xmlns:a16="http://schemas.microsoft.com/office/drawing/2014/main" id="{BF75EAEE-6409-45E3-8C22-845E6A547A38}"/>
            </a:ext>
          </a:extLst>
        </xdr:cNvPr>
        <xdr:cNvSpPr/>
      </xdr:nvSpPr>
      <xdr:spPr>
        <a:xfrm>
          <a:off x="2087880" y="670560"/>
          <a:ext cx="944880" cy="1257300"/>
        </a:xfrm>
        <a:prstGeom prst="can">
          <a:avLst>
            <a:gd name="adj" fmla="val 22266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Storage</a:t>
          </a:r>
          <a:r>
            <a:rPr lang="en-US" sz="1100" baseline="0"/>
            <a:t> tank</a:t>
          </a:r>
          <a:endParaRPr lang="en-US" sz="1100"/>
        </a:p>
      </xdr:txBody>
    </xdr:sp>
    <xdr:clientData/>
  </xdr:twoCellAnchor>
  <xdr:twoCellAnchor>
    <xdr:from>
      <xdr:col>0</xdr:col>
      <xdr:colOff>403860</xdr:colOff>
      <xdr:row>15</xdr:row>
      <xdr:rowOff>87630</xdr:rowOff>
    </xdr:from>
    <xdr:to>
      <xdr:col>5</xdr:col>
      <xdr:colOff>152400</xdr:colOff>
      <xdr:row>17</xdr:row>
      <xdr:rowOff>148590</xdr:rowOff>
    </xdr:to>
    <xdr:sp macro="" textlink="">
      <xdr:nvSpPr>
        <xdr:cNvPr id="4" name="Wave 3">
          <a:extLst>
            <a:ext uri="{FF2B5EF4-FFF2-40B4-BE49-F238E27FC236}">
              <a16:creationId xmlns:a16="http://schemas.microsoft.com/office/drawing/2014/main" id="{76963052-8481-486B-AFEC-C790B36539C2}"/>
            </a:ext>
          </a:extLst>
        </xdr:cNvPr>
        <xdr:cNvSpPr/>
      </xdr:nvSpPr>
      <xdr:spPr>
        <a:xfrm>
          <a:off x="403860" y="2830830"/>
          <a:ext cx="2796540" cy="426720"/>
        </a:xfrm>
        <a:prstGeom prst="wave">
          <a:avLst>
            <a:gd name="adj1" fmla="val 0"/>
            <a:gd name="adj2" fmla="val 123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Brine</a:t>
          </a:r>
          <a:r>
            <a:rPr lang="en-US" sz="1100" baseline="0"/>
            <a:t> pool </a:t>
          </a:r>
          <a:endParaRPr lang="en-US" sz="1100"/>
        </a:p>
      </xdr:txBody>
    </xdr:sp>
    <xdr:clientData/>
  </xdr:twoCellAnchor>
  <xdr:twoCellAnchor>
    <xdr:from>
      <xdr:col>2</xdr:col>
      <xdr:colOff>590550</xdr:colOff>
      <xdr:row>3</xdr:row>
      <xdr:rowOff>121920</xdr:rowOff>
    </xdr:from>
    <xdr:to>
      <xdr:col>4</xdr:col>
      <xdr:colOff>106680</xdr:colOff>
      <xdr:row>3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B756C13-FA96-4647-AED7-BF57B7A1B339}"/>
            </a:ext>
          </a:extLst>
        </xdr:cNvPr>
        <xdr:cNvCxnSpPr>
          <a:stCxn id="3" idx="1"/>
        </xdr:cNvCxnSpPr>
      </xdr:nvCxnSpPr>
      <xdr:spPr>
        <a:xfrm flipH="1">
          <a:off x="1809750" y="670560"/>
          <a:ext cx="73533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594361</xdr:colOff>
      <xdr:row>3</xdr:row>
      <xdr:rowOff>133350</xdr:rowOff>
    </xdr:from>
    <xdr:to>
      <xdr:col>2</xdr:col>
      <xdr:colOff>594543</xdr:colOff>
      <xdr:row>15</xdr:row>
      <xdr:rowOff>87630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ECD7D23-3203-4381-BFE1-D419F940EA54}"/>
            </a:ext>
          </a:extLst>
        </xdr:cNvPr>
        <xdr:cNvCxnSpPr>
          <a:stCxn id="4" idx="0"/>
        </xdr:cNvCxnSpPr>
      </xdr:nvCxnSpPr>
      <xdr:spPr>
        <a:xfrm flipH="1" flipV="1">
          <a:off x="1813561" y="681990"/>
          <a:ext cx="182" cy="2148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6</xdr:row>
      <xdr:rowOff>19050</xdr:rowOff>
    </xdr:from>
    <xdr:to>
      <xdr:col>2</xdr:col>
      <xdr:colOff>548640</xdr:colOff>
      <xdr:row>7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8F7E48-98B0-40DF-8BAF-E1A6C71D6004}"/>
            </a:ext>
          </a:extLst>
        </xdr:cNvPr>
        <xdr:cNvSpPr txBox="1"/>
      </xdr:nvSpPr>
      <xdr:spPr>
        <a:xfrm>
          <a:off x="1234440" y="1116330"/>
          <a:ext cx="53340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110m</a:t>
          </a:r>
        </a:p>
      </xdr:txBody>
    </xdr:sp>
    <xdr:clientData/>
  </xdr:twoCellAnchor>
  <xdr:twoCellAnchor>
    <xdr:from>
      <xdr:col>0</xdr:col>
      <xdr:colOff>64770</xdr:colOff>
      <xdr:row>18</xdr:row>
      <xdr:rowOff>137160</xdr:rowOff>
    </xdr:from>
    <xdr:to>
      <xdr:col>6</xdr:col>
      <xdr:colOff>175260</xdr:colOff>
      <xdr:row>24</xdr:row>
      <xdr:rowOff>125730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056B48B-291F-4283-AEFB-2598F78E25B0}"/>
                </a:ext>
              </a:extLst>
            </xdr:cNvPr>
            <xdr:cNvSpPr txBox="1"/>
          </xdr:nvSpPr>
          <xdr:spPr>
            <a:xfrm>
              <a:off x="64770" y="3429000"/>
              <a:ext cx="3768090" cy="1085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Mechanical</a:t>
              </a:r>
              <a:r>
                <a:rPr lang="en-US" sz="1100" baseline="0"/>
                <a:t> energy balance</a:t>
              </a:r>
            </a:p>
            <a:p>
              <a:r>
                <a:rPr lang="en-US" sz="1400" baseline="0"/>
                <a:t>1.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ṁ</m:t>
                  </m:r>
                  <m:d>
                    <m:dPr>
                      <m:ctrlPr>
                        <a:rPr lang="en-US" sz="14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𝑔</m:t>
                      </m:r>
                      <m:r>
                        <m:rPr>
                          <m:sty m:val="p"/>
                        </m:rPr>
                        <a:rPr lang="el-GR" sz="1400" b="0" i="1" baseline="0">
                          <a:latin typeface="Cambria Math" panose="02040503050406030204" pitchFamily="18" charset="0"/>
                        </a:rPr>
                        <m:t>Δ</m:t>
                      </m:r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𝑧</m:t>
                      </m:r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+Ḟ</m:t>
                      </m:r>
                    </m:e>
                  </m:d>
                  <m:r>
                    <a:rPr lang="en-US" sz="1400" b="0" i="1" baseline="0">
                      <a:latin typeface="Cambria Math" panose="02040503050406030204" pitchFamily="18" charset="0"/>
                    </a:rPr>
                    <m:t>=−</m:t>
                  </m:r>
                  <m:sSub>
                    <m:sSubPr>
                      <m:ctrlPr>
                        <a:rPr lang="en-US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Ẇ</m:t>
                      </m:r>
                    </m:e>
                    <m:sub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endParaRPr lang="en-US" sz="1400" b="0" baseline="0"/>
            </a:p>
            <a:p>
              <a:r>
                <a:rPr lang="en-US" sz="1400"/>
                <a:t>Efficiency</a:t>
              </a:r>
            </a:p>
            <a:p>
              <a:r>
                <a:rPr lang="en-US" sz="1400"/>
                <a:t>2.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0.55=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𝑤𝑜𝑟𝑘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𝑢𝑠𝑒𝑑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𝑤𝑜𝑟𝑘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𝑠𝑢𝑝𝑝𝑙𝑖𝑒𝑑</m:t>
                      </m:r>
                    </m:den>
                  </m:f>
                </m:oMath>
              </a14:m>
              <a:endParaRPr lang="en-US" sz="1400"/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056B48B-291F-4283-AEFB-2598F78E25B0}"/>
                </a:ext>
              </a:extLst>
            </xdr:cNvPr>
            <xdr:cNvSpPr txBox="1"/>
          </xdr:nvSpPr>
          <xdr:spPr>
            <a:xfrm>
              <a:off x="64770" y="3429000"/>
              <a:ext cx="3768090" cy="1085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Mechanical</a:t>
              </a:r>
              <a:r>
                <a:rPr lang="en-US" sz="1100" baseline="0"/>
                <a:t> energy balance</a:t>
              </a:r>
            </a:p>
            <a:p>
              <a:r>
                <a:rPr lang="en-US" sz="1400" baseline="0"/>
                <a:t>1.</a:t>
              </a:r>
              <a:r>
                <a:rPr lang="en-US" sz="1400" b="0" i="0" baseline="0">
                  <a:latin typeface="Cambria Math" panose="02040503050406030204" pitchFamily="18" charset="0"/>
                </a:rPr>
                <a:t>ṁ(𝑔</a:t>
              </a:r>
              <a:r>
                <a:rPr lang="el-GR" sz="1400" b="0" i="0" baseline="0">
                  <a:latin typeface="Cambria Math" panose="02040503050406030204" pitchFamily="18" charset="0"/>
                </a:rPr>
                <a:t>Δ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𝑧+Ḟ)=−Ẇ_𝑠</a:t>
              </a:r>
              <a:endParaRPr lang="en-US" sz="1400" b="0" baseline="0"/>
            </a:p>
            <a:p>
              <a:r>
                <a:rPr lang="en-US" sz="1400"/>
                <a:t>Efficiency</a:t>
              </a:r>
            </a:p>
            <a:p>
              <a:r>
                <a:rPr lang="en-US" sz="1400"/>
                <a:t>2.</a:t>
              </a:r>
              <a:r>
                <a:rPr lang="en-US" sz="1400" b="0" i="0">
                  <a:latin typeface="Cambria Math" panose="02040503050406030204" pitchFamily="18" charset="0"/>
                </a:rPr>
                <a:t>0.55=(𝑤𝑜𝑟𝑘 𝑢𝑠𝑒𝑑)/(𝑤𝑜𝑟𝑘 𝑠𝑢𝑝𝑝𝑙𝑖𝑒𝑑)</a:t>
              </a:r>
              <a:endParaRPr lang="en-US" sz="1400"/>
            </a:p>
            <a:p>
              <a:endParaRPr lang="en-US" sz="14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</xdr:row>
      <xdr:rowOff>72390</xdr:rowOff>
    </xdr:from>
    <xdr:to>
      <xdr:col>2</xdr:col>
      <xdr:colOff>293370</xdr:colOff>
      <xdr:row>8</xdr:row>
      <xdr:rowOff>3810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160020" y="438150"/>
              <a:ext cx="1352550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𝑅𝑎𝑜𝑢𝑙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𝐿𝑎𝑤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𝐴𝑛𝑡𝑖𝑜𝑛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𝐸𝑞𝑢𝑎𝑡𝑖𝑜𝑛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60020" y="438150"/>
              <a:ext cx="1352550" cy="1028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𝑅𝑎𝑜𝑢𝑙𝑡^′ 𝑠 𝐿𝑎𝑤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𝑦_(𝑖,𝑤)=(𝑝^∗ (𝑇))/𝑃  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𝐴𝑛𝑡𝑖𝑜𝑛𝑒^′ 𝑠 𝐸𝑞𝑢𝑎𝑡𝑖𝑜𝑛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𝑝^∗ (𝑇)=〖10〗^(𝐴−𝐵/(𝑇+𝐶))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163830</xdr:colOff>
      <xdr:row>10</xdr:row>
      <xdr:rowOff>22860</xdr:rowOff>
    </xdr:from>
    <xdr:to>
      <xdr:col>4</xdr:col>
      <xdr:colOff>144780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63830" y="1866900"/>
              <a:ext cx="2419350" cy="929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sub>
                            </m:sSub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𝑎𝑖𝑟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𝑎𝑖𝑟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63830" y="1866900"/>
              <a:ext cx="2419350" cy="929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𝑦_(𝐻_2 𝑂)=𝑛_(𝐻_2 𝑂)/(𝑛_(𝐻_2𝑂 )+𝑛_𝑎𝑖𝑟+𝑛_(𝐶𝑂_2 ) )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𝑦_(𝐻_2 𝑂)∗(𝑛_(𝐻_2 𝑂)+𝑛_𝑎𝑖𝑟+𝑛_(𝐶𝑂_2 ) )=𝑛_(𝐻_2 𝑂)</a:t>
              </a:r>
              <a:endParaRPr lang="en-US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11</xdr:col>
      <xdr:colOff>628650</xdr:colOff>
      <xdr:row>2</xdr:row>
      <xdr:rowOff>57150</xdr:rowOff>
    </xdr:from>
    <xdr:to>
      <xdr:col>16</xdr:col>
      <xdr:colOff>148590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7501890" y="422910"/>
              <a:ext cx="2590800" cy="1238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88 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𝑚𝑜𝑙𝑠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(12 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𝑚𝑜𝑙𝑠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𝐴𝑖𝑟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𝑠𝑡𝑟𝑒𝑎𝑚𝑠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23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𝑎𝑛𝑑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25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𝑚𝑜𝑙𝑠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𝑎𝑖𝑟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𝑚𝑜𝑙𝑠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79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𝑚𝑜𝑙𝑠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𝑎𝑖𝑟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𝑚𝑜𝑙𝑠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501890" y="422910"/>
              <a:ext cx="2590800" cy="12382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((88 𝑚𝑜𝑙𝑠 𝐶𝑂_2 ))/((12 𝑚𝑜𝑙𝑠 𝐴𝑖𝑟))  𝑓𝑜𝑟 𝑠𝑡𝑟𝑒𝑎𝑚𝑠 23 𝑎𝑛𝑑 25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(21/100)(𝑚𝑜𝑙𝑠 𝑎𝑖𝑟)=𝑚𝑜𝑙𝑠 𝑂_2 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(79/100)(𝑚𝑜𝑙𝑠 𝑎𝑖𝑟)=𝑚𝑜𝑙𝑠 𝑁_2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331470</xdr:colOff>
      <xdr:row>2</xdr:row>
      <xdr:rowOff>137160</xdr:rowOff>
    </xdr:from>
    <xdr:to>
      <xdr:col>3</xdr:col>
      <xdr:colOff>765810</xdr:colOff>
      <xdr:row>12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31470" y="502920"/>
          <a:ext cx="323469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781050</xdr:colOff>
      <xdr:row>5</xdr:row>
      <xdr:rowOff>87630</xdr:rowOff>
    </xdr:from>
    <xdr:to>
      <xdr:col>2</xdr:col>
      <xdr:colOff>365760</xdr:colOff>
      <xdr:row>9</xdr:row>
      <xdr:rowOff>163830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421130" y="1002030"/>
          <a:ext cx="1104900" cy="80772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Precarb</a:t>
          </a:r>
          <a:r>
            <a:rPr lang="en-US" sz="1100" baseline="0"/>
            <a:t> and carb 1&amp;2 reactos </a:t>
          </a:r>
          <a:endParaRPr lang="en-US" sz="1100"/>
        </a:p>
      </xdr:txBody>
    </xdr:sp>
    <xdr:clientData/>
  </xdr:twoCellAnchor>
  <xdr:twoCellAnchor>
    <xdr:from>
      <xdr:col>0</xdr:col>
      <xdr:colOff>331470</xdr:colOff>
      <xdr:row>7</xdr:row>
      <xdr:rowOff>125730</xdr:rowOff>
    </xdr:from>
    <xdr:to>
      <xdr:col>1</xdr:col>
      <xdr:colOff>781050</xdr:colOff>
      <xdr:row>7</xdr:row>
      <xdr:rowOff>125730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>
          <a:stCxn id="2" idx="1"/>
          <a:endCxn id="3" idx="1"/>
        </xdr:cNvCxnSpPr>
      </xdr:nvCxnSpPr>
      <xdr:spPr>
        <a:xfrm>
          <a:off x="331470" y="1405890"/>
          <a:ext cx="10896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365760</xdr:colOff>
      <xdr:row>7</xdr:row>
      <xdr:rowOff>125730</xdr:rowOff>
    </xdr:from>
    <xdr:to>
      <xdr:col>3</xdr:col>
      <xdr:colOff>765810</xdr:colOff>
      <xdr:row>7</xdr:row>
      <xdr:rowOff>125730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>
          <a:stCxn id="3" idx="3"/>
          <a:endCxn id="2" idx="3"/>
        </xdr:cNvCxnSpPr>
      </xdr:nvCxnSpPr>
      <xdr:spPr>
        <a:xfrm>
          <a:off x="2526030" y="1405890"/>
          <a:ext cx="104013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403860</xdr:colOff>
      <xdr:row>4</xdr:row>
      <xdr:rowOff>99060</xdr:rowOff>
    </xdr:from>
    <xdr:to>
      <xdr:col>1</xdr:col>
      <xdr:colOff>529590</xdr:colOff>
      <xdr:row>7</xdr:row>
      <xdr:rowOff>80010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403860" y="830580"/>
          <a:ext cx="765810" cy="529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Stream 5</a:t>
          </a:r>
        </a:p>
        <a:p>
          <a:r>
            <a:rPr lang="en-US" sz="1100"/>
            <a:t>(43.7C)</a:t>
          </a:r>
        </a:p>
      </xdr:txBody>
    </xdr:sp>
    <xdr:clientData/>
  </xdr:twoCellAnchor>
  <xdr:twoCellAnchor>
    <xdr:from>
      <xdr:col>2</xdr:col>
      <xdr:colOff>544830</xdr:colOff>
      <xdr:row>4</xdr:row>
      <xdr:rowOff>156210</xdr:rowOff>
    </xdr:from>
    <xdr:to>
      <xdr:col>3</xdr:col>
      <xdr:colOff>613410</xdr:colOff>
      <xdr:row>7</xdr:row>
      <xdr:rowOff>45720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2705100" y="887730"/>
          <a:ext cx="70866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Stream</a:t>
          </a:r>
          <a:r>
            <a:rPr lang="en-US" sz="1100" baseline="0"/>
            <a:t> 9</a:t>
          </a:r>
        </a:p>
        <a:p>
          <a:r>
            <a:rPr lang="en-US" sz="1100" baseline="0"/>
            <a:t>(60C)</a:t>
          </a:r>
          <a:endParaRPr lang="en-US" sz="1100"/>
        </a:p>
      </xdr:txBody>
    </xdr:sp>
    <xdr:clientData/>
  </xdr:twoCellAnchor>
  <xdr:twoCellAnchor>
    <xdr:from>
      <xdr:col>1</xdr:col>
      <xdr:colOff>1188720</xdr:colOff>
      <xdr:row>9</xdr:row>
      <xdr:rowOff>106680</xdr:rowOff>
    </xdr:from>
    <xdr:to>
      <xdr:col>1</xdr:col>
      <xdr:colOff>1436369</xdr:colOff>
      <xdr:row>12</xdr:row>
      <xdr:rowOff>19050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 rot="10800000">
          <a:off x="1828800" y="1752600"/>
          <a:ext cx="247649" cy="461010"/>
        </a:xfrm>
        <a:prstGeom prst="down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1405890</xdr:colOff>
      <xdr:row>10</xdr:row>
      <xdr:rowOff>156210</xdr:rowOff>
    </xdr:from>
    <xdr:to>
      <xdr:col>2</xdr:col>
      <xdr:colOff>236220</xdr:colOff>
      <xdr:row>12</xdr:row>
      <xdr:rowOff>53340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2045970" y="1985010"/>
          <a:ext cx="350520" cy="262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Q?</a:t>
          </a:r>
        </a:p>
      </xdr:txBody>
    </xdr:sp>
    <xdr:clientData/>
  </xdr:twoCellAnchor>
  <xdr:twoCellAnchor>
    <xdr:from>
      <xdr:col>4</xdr:col>
      <xdr:colOff>60960</xdr:colOff>
      <xdr:row>3</xdr:row>
      <xdr:rowOff>118110</xdr:rowOff>
    </xdr:from>
    <xdr:to>
      <xdr:col>7</xdr:col>
      <xdr:colOff>419100</xdr:colOff>
      <xdr:row>6</xdr:row>
      <xdr:rowOff>26670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 txBox="1"/>
          </xdr:nvSpPr>
          <xdr:spPr>
            <a:xfrm>
              <a:off x="3916680" y="666750"/>
              <a:ext cx="2461260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𝑄</m:t>
                  </m:r>
                </m:oMath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𝑟𝑥𝑛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+∆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9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</m:t>
                      </m:r>
                    </m:sub>
                  </m:sSub>
                </m:oMath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3916680" y="666750"/>
              <a:ext cx="2461260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𝐻=𝑄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∆𝐻= ∆𝐻°_𝑟𝑥𝑛+∆𝐻_𝑐𝑟𝑦𝑠+H_9−H_5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4</xdr:col>
      <xdr:colOff>76200</xdr:colOff>
      <xdr:row>7</xdr:row>
      <xdr:rowOff>102870</xdr:rowOff>
    </xdr:from>
    <xdr:to>
      <xdr:col>6</xdr:col>
      <xdr:colOff>506730</xdr:colOff>
      <xdr:row>13</xdr:row>
      <xdr:rowOff>125730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137660" y="1383030"/>
          <a:ext cx="2000250" cy="1120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Assuming we</a:t>
          </a:r>
          <a:r>
            <a:rPr lang="en-US" sz="1100" baseline="0"/>
            <a:t> can ignore gas streams 29 and 41 since their enthalpies will not have much affect on the balance due to the small amount of mass flow in those streams. </a:t>
          </a:r>
          <a:endParaRPr lang="en-US" sz="1100"/>
        </a:p>
      </xdr:txBody>
    </xdr:sp>
    <xdr:clientData/>
  </xdr:twoCellAnchor>
  <xdr:twoCellAnchor>
    <xdr:from>
      <xdr:col>0</xdr:col>
      <xdr:colOff>65917</xdr:colOff>
      <xdr:row>34</xdr:row>
      <xdr:rowOff>22860</xdr:rowOff>
    </xdr:from>
    <xdr:to>
      <xdr:col>3</xdr:col>
      <xdr:colOff>899160</xdr:colOff>
      <xdr:row>37</xdr:row>
      <xdr:rowOff>57354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/>
          </xdr:nvSpPr>
          <xdr:spPr>
            <a:xfrm>
              <a:off x="65917" y="6278880"/>
              <a:ext cx="3492623" cy="58313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𝑐𝑟𝑦𝑠</m:t>
                          </m:r>
                        </m:sub>
                      </m:sSub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𝑓𝑖𝑙𝑡</m:t>
                          </m:r>
                        </m:sub>
                      </m:sSub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b>
                  </m:sSub>
                </m:oMath>
              </a14:m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9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9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)+(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𝑓𝑖𝑙𝑡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𝑓𝑖𝑙𝑡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9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) </m:t>
                  </m:r>
                </m:oMath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65917" y="6278880"/>
              <a:ext cx="3492623" cy="58313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𝐻_9=〖𝐻_𝑐𝑟𝑦𝑠〗_9+〖𝐻_𝑓𝑖𝑙𝑡〗_9</a:t>
              </a: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sz="1100" b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𝐻_9=〖(𝑚〗_𝑐𝑟𝑦𝑠∗〖𝐶_𝑝〗_𝑐𝑟𝑦𝑠∗𝑇_9)+(𝑚_𝑓𝑖𝑙𝑡∗𝐶𝑝_𝑓𝑖𝑙𝑡∗𝑇_9)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262193</xdr:colOff>
      <xdr:row>48</xdr:row>
      <xdr:rowOff>77839</xdr:rowOff>
    </xdr:from>
    <xdr:to>
      <xdr:col>3</xdr:col>
      <xdr:colOff>220980</xdr:colOff>
      <xdr:row>50</xdr:row>
      <xdr:rowOff>32774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SpPr txBox="1"/>
          </xdr:nvSpPr>
          <xdr:spPr>
            <a:xfrm>
              <a:off x="262193" y="8924659"/>
              <a:ext cx="2618167" cy="32069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𝑏𝑟𝑖𝑛𝑒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𝑏𝑟𝑖𝑛𝑒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62193" y="8924659"/>
              <a:ext cx="2618167" cy="32069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𝐻_5=(〖𝑚_𝑏𝑟𝑖𝑛𝑒〗_5∗𝐶𝑝_𝑏𝑟𝑖𝑛𝑒∗𝑇_5)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2</xdr:row>
      <xdr:rowOff>68580</xdr:rowOff>
    </xdr:from>
    <xdr:to>
      <xdr:col>3</xdr:col>
      <xdr:colOff>179070</xdr:colOff>
      <xdr:row>11</xdr:row>
      <xdr:rowOff>110490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35280" y="434340"/>
          <a:ext cx="2526030" cy="1687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769620</xdr:colOff>
      <xdr:row>4</xdr:row>
      <xdr:rowOff>133350</xdr:rowOff>
    </xdr:from>
    <xdr:to>
      <xdr:col>1</xdr:col>
      <xdr:colOff>2247900</xdr:colOff>
      <xdr:row>9</xdr:row>
      <xdr:rowOff>68580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409700" y="864870"/>
          <a:ext cx="1478280" cy="84963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Carb</a:t>
          </a:r>
          <a:r>
            <a:rPr lang="en-US" sz="1100" baseline="0"/>
            <a:t> Reactor 2 (60oC)</a:t>
          </a:r>
          <a:endParaRPr lang="en-US" sz="1100"/>
        </a:p>
      </xdr:txBody>
    </xdr:sp>
    <xdr:clientData/>
  </xdr:twoCellAnchor>
  <xdr:twoCellAnchor>
    <xdr:from>
      <xdr:col>0</xdr:col>
      <xdr:colOff>335280</xdr:colOff>
      <xdr:row>6</xdr:row>
      <xdr:rowOff>180975</xdr:rowOff>
    </xdr:from>
    <xdr:to>
      <xdr:col>1</xdr:col>
      <xdr:colOff>769620</xdr:colOff>
      <xdr:row>7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>
          <a:stCxn id="2" idx="1"/>
          <a:endCxn id="3" idx="1"/>
        </xdr:cNvCxnSpPr>
      </xdr:nvCxnSpPr>
      <xdr:spPr>
        <a:xfrm>
          <a:off x="335280" y="1278255"/>
          <a:ext cx="1074420" cy="1143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180975</xdr:rowOff>
    </xdr:from>
    <xdr:to>
      <xdr:col>3</xdr:col>
      <xdr:colOff>179070</xdr:colOff>
      <xdr:row>7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stCxn id="3" idx="3"/>
          <a:endCxn id="2" idx="3"/>
        </xdr:cNvCxnSpPr>
      </xdr:nvCxnSpPr>
      <xdr:spPr>
        <a:xfrm flipV="1">
          <a:off x="2042160" y="1278255"/>
          <a:ext cx="819150" cy="1143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480060</xdr:colOff>
      <xdr:row>4</xdr:row>
      <xdr:rowOff>26670</xdr:rowOff>
    </xdr:from>
    <xdr:to>
      <xdr:col>1</xdr:col>
      <xdr:colOff>590550</xdr:colOff>
      <xdr:row>6</xdr:row>
      <xdr:rowOff>110490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480060" y="758190"/>
          <a:ext cx="75057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Stream 8 </a:t>
          </a:r>
        </a:p>
        <a:p>
          <a:r>
            <a:rPr lang="en-US" sz="1100"/>
            <a:t>T=?</a:t>
          </a:r>
        </a:p>
      </xdr:txBody>
    </xdr:sp>
    <xdr:clientData/>
  </xdr:twoCellAnchor>
  <xdr:twoCellAnchor>
    <xdr:from>
      <xdr:col>2</xdr:col>
      <xdr:colOff>0</xdr:colOff>
      <xdr:row>3</xdr:row>
      <xdr:rowOff>160020</xdr:rowOff>
    </xdr:from>
    <xdr:to>
      <xdr:col>3</xdr:col>
      <xdr:colOff>83820</xdr:colOff>
      <xdr:row>6</xdr:row>
      <xdr:rowOff>68580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2042160" y="708660"/>
          <a:ext cx="7239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Stream 9</a:t>
          </a:r>
        </a:p>
        <a:p>
          <a:r>
            <a:rPr lang="en-US" sz="1100"/>
            <a:t>T = 60oC</a:t>
          </a:r>
        </a:p>
      </xdr:txBody>
    </xdr:sp>
    <xdr:clientData/>
  </xdr:twoCellAnchor>
  <xdr:twoCellAnchor>
    <xdr:from>
      <xdr:col>4</xdr:col>
      <xdr:colOff>106680</xdr:colOff>
      <xdr:row>3</xdr:row>
      <xdr:rowOff>171450</xdr:rowOff>
    </xdr:from>
    <xdr:to>
      <xdr:col>6</xdr:col>
      <xdr:colOff>491490</xdr:colOff>
      <xdr:row>6</xdr:row>
      <xdr:rowOff>106680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 txBox="1"/>
          </xdr:nvSpPr>
          <xdr:spPr>
            <a:xfrm>
              <a:off x="3920490" y="720090"/>
              <a:ext cx="2156460" cy="4838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 </m:t>
                  </m:r>
                </m:oMath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𝑟𝑥𝑛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+∆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9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8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3920490" y="720090"/>
              <a:ext cx="2156460" cy="4838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𝐻=0 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∆𝐻°_𝑟𝑥𝑛+∆𝐻_𝑐𝑟𝑦𝑠+ 𝐻_9=𝐻_8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350520</xdr:colOff>
      <xdr:row>31</xdr:row>
      <xdr:rowOff>99060</xdr:rowOff>
    </xdr:from>
    <xdr:to>
      <xdr:col>4</xdr:col>
      <xdr:colOff>480060</xdr:colOff>
      <xdr:row>34</xdr:row>
      <xdr:rowOff>132928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 txBox="1"/>
          </xdr:nvSpPr>
          <xdr:spPr>
            <a:xfrm>
              <a:off x="350520" y="5806440"/>
              <a:ext cx="3794760" cy="58250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𝑐𝑟𝑦𝑠</m:t>
                          </m:r>
                        </m:sub>
                      </m:sSub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𝑓𝑖𝑙𝑡</m:t>
                          </m:r>
                        </m:sub>
                      </m:sSub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b>
                  </m:sSub>
                </m:oMath>
              </a14:m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8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8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)+(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𝑓𝑖𝑙𝑡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𝑓𝑖𝑙𝑡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8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) </m:t>
                  </m:r>
                </m:oMath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350520" y="5806440"/>
              <a:ext cx="3794760" cy="58250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𝐻_8=〖𝐻_𝑐𝑟𝑦𝑠〗_8+〖𝐻_𝑓𝑖𝑙𝑡〗_8</a:t>
              </a: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sz="1100" b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𝐻_8=〖(𝑚〗_𝑐𝑟𝑦𝑠∗〖𝐶_𝑝〗_𝑐𝑟𝑦𝑠∗𝑇_8)+(𝑚_𝑓𝑖𝑙𝑡∗𝐶𝑝_𝑓𝑖𝑙𝑡∗𝑇_8)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1</xdr:col>
      <xdr:colOff>0</xdr:colOff>
      <xdr:row>46</xdr:row>
      <xdr:rowOff>28575</xdr:rowOff>
    </xdr:from>
    <xdr:to>
      <xdr:col>3</xdr:col>
      <xdr:colOff>739140</xdr:colOff>
      <xdr:row>52</xdr:row>
      <xdr:rowOff>135255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609600" y="8877300"/>
          <a:ext cx="2634615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838200</xdr:colOff>
      <xdr:row>48</xdr:row>
      <xdr:rowOff>121920</xdr:rowOff>
    </xdr:from>
    <xdr:to>
      <xdr:col>2</xdr:col>
      <xdr:colOff>312420</xdr:colOff>
      <xdr:row>51</xdr:row>
      <xdr:rowOff>22860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1447800" y="8968740"/>
          <a:ext cx="800100" cy="449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Carb</a:t>
          </a:r>
          <a:r>
            <a:rPr lang="en-US" sz="1100" baseline="0"/>
            <a:t> Reactor 1 </a:t>
          </a:r>
          <a:endParaRPr lang="en-US" sz="1100"/>
        </a:p>
      </xdr:txBody>
    </xdr:sp>
    <xdr:clientData/>
  </xdr:twoCellAnchor>
  <xdr:twoCellAnchor>
    <xdr:from>
      <xdr:col>1</xdr:col>
      <xdr:colOff>99060</xdr:colOff>
      <xdr:row>47</xdr:row>
      <xdr:rowOff>87630</xdr:rowOff>
    </xdr:from>
    <xdr:to>
      <xdr:col>1</xdr:col>
      <xdr:colOff>819150</xdr:colOff>
      <xdr:row>49</xdr:row>
      <xdr:rowOff>171450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708660" y="8751570"/>
          <a:ext cx="72009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Stream 8 </a:t>
          </a:r>
        </a:p>
        <a:p>
          <a:r>
            <a:rPr lang="en-US" sz="1100"/>
            <a:t>T=63.79</a:t>
          </a:r>
        </a:p>
      </xdr:txBody>
    </xdr:sp>
    <xdr:clientData/>
  </xdr:twoCellAnchor>
  <xdr:twoCellAnchor>
    <xdr:from>
      <xdr:col>1</xdr:col>
      <xdr:colOff>228600</xdr:colOff>
      <xdr:row>50</xdr:row>
      <xdr:rowOff>0</xdr:rowOff>
    </xdr:from>
    <xdr:to>
      <xdr:col>1</xdr:col>
      <xdr:colOff>830580</xdr:colOff>
      <xdr:row>50</xdr:row>
      <xdr:rowOff>9525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 flipH="1">
          <a:off x="838200" y="9610725"/>
          <a:ext cx="60198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50</xdr:row>
      <xdr:rowOff>0</xdr:rowOff>
    </xdr:from>
    <xdr:to>
      <xdr:col>3</xdr:col>
      <xdr:colOff>495300</xdr:colOff>
      <xdr:row>50</xdr:row>
      <xdr:rowOff>1905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 flipH="1">
          <a:off x="2200275" y="9610725"/>
          <a:ext cx="800100" cy="190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434340</xdr:colOff>
      <xdr:row>47</xdr:row>
      <xdr:rowOff>38100</xdr:rowOff>
    </xdr:from>
    <xdr:to>
      <xdr:col>3</xdr:col>
      <xdr:colOff>655320</xdr:colOff>
      <xdr:row>49</xdr:row>
      <xdr:rowOff>121920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2369820" y="8702040"/>
          <a:ext cx="83058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Stream 7B</a:t>
          </a:r>
        </a:p>
        <a:p>
          <a:r>
            <a:rPr lang="en-US" sz="1100"/>
            <a:t>T=?</a:t>
          </a:r>
        </a:p>
      </xdr:txBody>
    </xdr:sp>
    <xdr:clientData/>
  </xdr:twoCellAnchor>
  <xdr:twoCellAnchor>
    <xdr:from>
      <xdr:col>0</xdr:col>
      <xdr:colOff>575310</xdr:colOff>
      <xdr:row>73</xdr:row>
      <xdr:rowOff>41910</xdr:rowOff>
    </xdr:from>
    <xdr:to>
      <xdr:col>3</xdr:col>
      <xdr:colOff>99060</xdr:colOff>
      <xdr:row>75</xdr:row>
      <xdr:rowOff>160020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500-000015000000}"/>
                </a:ext>
              </a:extLst>
            </xdr:cNvPr>
            <xdr:cNvSpPr txBox="1"/>
          </xdr:nvSpPr>
          <xdr:spPr>
            <a:xfrm>
              <a:off x="575310" y="13498830"/>
              <a:ext cx="2068830" cy="4838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 </m:t>
                  </m:r>
                </m:oMath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𝑟𝑥𝑛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+∆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8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7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𝐵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575310" y="13498830"/>
              <a:ext cx="2068830" cy="4838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𝐻=0 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∆𝐻°_𝑟𝑥𝑛+∆𝐻_𝑐𝑟𝑦𝑠+ 𝐻_8=𝐻_7𝐵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</xdr:col>
      <xdr:colOff>7620</xdr:colOff>
      <xdr:row>76</xdr:row>
      <xdr:rowOff>45720</xdr:rowOff>
    </xdr:from>
    <xdr:to>
      <xdr:col>5</xdr:col>
      <xdr:colOff>137160</xdr:colOff>
      <xdr:row>79</xdr:row>
      <xdr:rowOff>79588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 txBox="1"/>
          </xdr:nvSpPr>
          <xdr:spPr>
            <a:xfrm>
              <a:off x="617220" y="14051280"/>
              <a:ext cx="3794760" cy="58250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𝑐𝑟𝑦𝑠</m:t>
                          </m:r>
                        </m:sub>
                      </m:sSub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𝑓𝑖𝑙𝑡</m:t>
                          </m:r>
                        </m:sub>
                      </m:sSub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</m:oMath>
              </a14:m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sz="1100" b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7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7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)+(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𝑓𝑖𝑙𝑡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𝑓𝑖𝑙𝑡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7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) </m:t>
                  </m:r>
                </m:oMath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617220" y="14051280"/>
              <a:ext cx="3794760" cy="58250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𝐻_7𝐵=〖𝐻_𝑐𝑟𝑦𝑠〗_7𝐵+〖𝐻_𝑓𝑖𝑙𝑡〗_7𝐵</a:t>
              </a: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sz="1100" b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𝐻_7𝐵=〖(𝑚〗_𝑐𝑟𝑦𝑠∗〖𝐶_𝑝〗_𝑐𝑟𝑦𝑠∗𝑇_7𝐵)+(𝑚_𝑓𝑖𝑙𝑡∗𝐶𝑝_𝑓𝑖𝑙𝑡∗𝑇_7𝐵)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</xdr:row>
      <xdr:rowOff>22860</xdr:rowOff>
    </xdr:from>
    <xdr:to>
      <xdr:col>4</xdr:col>
      <xdr:colOff>213360</xdr:colOff>
      <xdr:row>6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295400" y="571500"/>
          <a:ext cx="1356360" cy="54102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Carbonator 1 </a:t>
          </a:r>
        </a:p>
      </xdr:txBody>
    </xdr:sp>
    <xdr:clientData/>
  </xdr:twoCellAnchor>
  <xdr:twoCellAnchor>
    <xdr:from>
      <xdr:col>0</xdr:col>
      <xdr:colOff>586740</xdr:colOff>
      <xdr:row>4</xdr:row>
      <xdr:rowOff>106680</xdr:rowOff>
    </xdr:from>
    <xdr:to>
      <xdr:col>2</xdr:col>
      <xdr:colOff>76200</xdr:colOff>
      <xdr:row>4</xdr:row>
      <xdr:rowOff>110490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>
          <a:stCxn id="2" idx="1"/>
        </xdr:cNvCxnSpPr>
      </xdr:nvCxnSpPr>
      <xdr:spPr>
        <a:xfrm flipH="1" flipV="1">
          <a:off x="586740" y="838200"/>
          <a:ext cx="70866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213360</xdr:colOff>
      <xdr:row>4</xdr:row>
      <xdr:rowOff>106680</xdr:rowOff>
    </xdr:from>
    <xdr:to>
      <xdr:col>5</xdr:col>
      <xdr:colOff>327660</xdr:colOff>
      <xdr:row>4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>
          <a:off x="2651760" y="838200"/>
          <a:ext cx="723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198120</xdr:colOff>
      <xdr:row>9</xdr:row>
      <xdr:rowOff>38100</xdr:rowOff>
    </xdr:from>
    <xdr:to>
      <xdr:col>3</xdr:col>
      <xdr:colOff>438150</xdr:colOff>
      <xdr:row>11</xdr:row>
      <xdr:rowOff>156210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>
            <a:xfrm>
              <a:off x="198120" y="1684020"/>
              <a:ext cx="2068830" cy="4838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 </m:t>
                  </m:r>
                </m:oMath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𝑟𝑥𝑛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+∆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𝑐𝑟𝑦𝑠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8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7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𝐵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98120" y="1684020"/>
              <a:ext cx="2068830" cy="4838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𝐻=0 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∆𝐻°_𝑟𝑥𝑛+∆𝐻_𝑐𝑟𝑦𝑠+ 𝐻_8=𝐻_7𝐵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6</xdr:col>
      <xdr:colOff>350520</xdr:colOff>
      <xdr:row>29</xdr:row>
      <xdr:rowOff>15240</xdr:rowOff>
    </xdr:from>
    <xdr:to>
      <xdr:col>9</xdr:col>
      <xdr:colOff>365760</xdr:colOff>
      <xdr:row>32</xdr:row>
      <xdr:rowOff>7620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4991100" y="5318760"/>
          <a:ext cx="1844040" cy="54102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Carbonator 1 </a:t>
          </a:r>
        </a:p>
      </xdr:txBody>
    </xdr:sp>
    <xdr:clientData/>
  </xdr:twoCellAnchor>
  <xdr:twoCellAnchor>
    <xdr:from>
      <xdr:col>1</xdr:col>
      <xdr:colOff>281940</xdr:colOff>
      <xdr:row>28</xdr:row>
      <xdr:rowOff>175260</xdr:rowOff>
    </xdr:from>
    <xdr:to>
      <xdr:col>3</xdr:col>
      <xdr:colOff>723900</xdr:colOff>
      <xdr:row>31</xdr:row>
      <xdr:rowOff>167640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891540" y="5295900"/>
          <a:ext cx="1844040" cy="54102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Carbonator 2 </a:t>
          </a:r>
        </a:p>
      </xdr:txBody>
    </xdr:sp>
    <xdr:clientData/>
  </xdr:twoCellAnchor>
  <xdr:twoCellAnchor>
    <xdr:from>
      <xdr:col>0</xdr:col>
      <xdr:colOff>0</xdr:colOff>
      <xdr:row>30</xdr:row>
      <xdr:rowOff>53340</xdr:rowOff>
    </xdr:from>
    <xdr:to>
      <xdr:col>1</xdr:col>
      <xdr:colOff>281940</xdr:colOff>
      <xdr:row>30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H="1" flipV="1">
          <a:off x="0" y="5539740"/>
          <a:ext cx="89154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723900</xdr:colOff>
      <xdr:row>30</xdr:row>
      <xdr:rowOff>76200</xdr:rowOff>
    </xdr:from>
    <xdr:to>
      <xdr:col>4</xdr:col>
      <xdr:colOff>449580</xdr:colOff>
      <xdr:row>30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H="1">
          <a:off x="2735580" y="5562600"/>
          <a:ext cx="8229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335280</xdr:colOff>
      <xdr:row>30</xdr:row>
      <xdr:rowOff>68580</xdr:rowOff>
    </xdr:from>
    <xdr:to>
      <xdr:col>6</xdr:col>
      <xdr:colOff>342900</xdr:colOff>
      <xdr:row>30</xdr:row>
      <xdr:rowOff>68580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>
          <a:off x="4053840" y="5554980"/>
          <a:ext cx="929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29</xdr:row>
      <xdr:rowOff>15240</xdr:rowOff>
    </xdr:from>
    <xdr:to>
      <xdr:col>5</xdr:col>
      <xdr:colOff>335280</xdr:colOff>
      <xdr:row>31</xdr:row>
      <xdr:rowOff>106680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3581400" y="5318760"/>
          <a:ext cx="472440" cy="4572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</xdr:colOff>
      <xdr:row>28</xdr:row>
      <xdr:rowOff>91440</xdr:rowOff>
    </xdr:from>
    <xdr:to>
      <xdr:col>5</xdr:col>
      <xdr:colOff>175260</xdr:colOff>
      <xdr:row>31</xdr:row>
      <xdr:rowOff>175260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rot="16200000" flipV="1">
          <a:off x="3505200" y="5455920"/>
          <a:ext cx="632460" cy="1447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36</xdr:row>
      <xdr:rowOff>22860</xdr:rowOff>
    </xdr:from>
    <xdr:to>
      <xdr:col>3</xdr:col>
      <xdr:colOff>754380</xdr:colOff>
      <xdr:row>38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600-000014000000}"/>
                </a:ext>
              </a:extLst>
            </xdr:cNvPr>
            <xdr:cNvSpPr txBox="1"/>
          </xdr:nvSpPr>
          <xdr:spPr>
            <a:xfrm>
              <a:off x="304800" y="6606540"/>
              <a:ext cx="2461260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𝑄</m:t>
                  </m:r>
                </m:oMath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8</m:t>
                      </m:r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B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8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304800" y="6606540"/>
              <a:ext cx="2461260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𝐻=𝑄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H_8B−H_8=𝑄_2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533400</xdr:colOff>
      <xdr:row>51</xdr:row>
      <xdr:rowOff>91440</xdr:rowOff>
    </xdr:from>
    <xdr:to>
      <xdr:col>2</xdr:col>
      <xdr:colOff>22860</xdr:colOff>
      <xdr:row>51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H="1" flipV="1">
          <a:off x="533400" y="9418320"/>
          <a:ext cx="89154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50</xdr:row>
      <xdr:rowOff>60960</xdr:rowOff>
    </xdr:from>
    <xdr:to>
      <xdr:col>2</xdr:col>
      <xdr:colOff>502920</xdr:colOff>
      <xdr:row>52</xdr:row>
      <xdr:rowOff>152400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1432560" y="9204960"/>
          <a:ext cx="472440" cy="45720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213360</xdr:colOff>
      <xdr:row>49</xdr:row>
      <xdr:rowOff>129540</xdr:rowOff>
    </xdr:from>
    <xdr:to>
      <xdr:col>2</xdr:col>
      <xdr:colOff>358140</xdr:colOff>
      <xdr:row>53</xdr:row>
      <xdr:rowOff>30480</xdr:rowOff>
    </xdr:to>
    <xdr:cxnSp macro="">
      <xdr:nvCxnSpPr>
        <xdr:cNvPr id="24" name="Elbow Connector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/>
      </xdr:nvCxnSpPr>
      <xdr:spPr>
        <a:xfrm rot="16200000" flipV="1">
          <a:off x="1371600" y="9334500"/>
          <a:ext cx="632460" cy="1447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51</xdr:row>
      <xdr:rowOff>99060</xdr:rowOff>
    </xdr:from>
    <xdr:to>
      <xdr:col>3</xdr:col>
      <xdr:colOff>777240</xdr:colOff>
      <xdr:row>51</xdr:row>
      <xdr:rowOff>102870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/>
      </xdr:nvCxnSpPr>
      <xdr:spPr>
        <a:xfrm flipH="1" flipV="1">
          <a:off x="1897380" y="9425940"/>
          <a:ext cx="89154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274320</xdr:colOff>
      <xdr:row>54</xdr:row>
      <xdr:rowOff>15240</xdr:rowOff>
    </xdr:from>
    <xdr:to>
      <xdr:col>3</xdr:col>
      <xdr:colOff>762000</xdr:colOff>
      <xdr:row>56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600-00001A000000}"/>
                </a:ext>
              </a:extLst>
            </xdr:cNvPr>
            <xdr:cNvSpPr txBox="1"/>
          </xdr:nvSpPr>
          <xdr:spPr>
            <a:xfrm>
              <a:off x="274320" y="9890760"/>
              <a:ext cx="2499360" cy="4838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𝐻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𝑟𝑥𝑛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7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𝐵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74320" y="9890760"/>
              <a:ext cx="2499360" cy="4838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ea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𝐻=𝑄_1  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∆𝐻°_𝑟𝑥𝑛+𝐻_7𝐵−𝐻_5=𝑄_1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83820</xdr:rowOff>
    </xdr:from>
    <xdr:to>
      <xdr:col>13</xdr:col>
      <xdr:colOff>213360</xdr:colOff>
      <xdr:row>6</xdr:row>
      <xdr:rowOff>80010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CFFBC8-AF7B-428E-B9F2-28499976A292}"/>
                </a:ext>
              </a:extLst>
            </xdr:cNvPr>
            <xdr:cNvSpPr txBox="1"/>
          </xdr:nvSpPr>
          <xdr:spPr>
            <a:xfrm>
              <a:off x="99060" y="83820"/>
              <a:ext cx="8435340" cy="10934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/>
                <a:t>Problem 6</a:t>
              </a:r>
            </a:p>
            <a:p>
              <a:r>
                <a:rPr lang="en-US" sz="1100" b="0"/>
                <a:t>-in</a:t>
              </a:r>
              <a:r>
                <a:rPr lang="en-US" sz="1100" b="0" baseline="0"/>
                <a:t> the proposed process, coal would be directly placed into the dryer and combusted through direct firing. The stack gases would heat the reaction. </a:t>
              </a:r>
              <a:r>
                <a:rPr lang="en-US" sz="1100" b="1" baseline="0">
                  <a:solidFill>
                    <a:schemeClr val="tx1"/>
                  </a:solidFill>
                </a:rPr>
                <a:t>This process would not work due to components of the combustion of coal. </a:t>
              </a:r>
              <a14:m>
                <m:oMath xmlns:m="http://schemas.openxmlformats.org/officeDocument/2006/math"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𝑺</m:t>
                  </m:r>
                  <m:sSub>
                    <m:sSubPr>
                      <m:ctrlPr>
                        <a:rPr lang="en-US" sz="1100" b="1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𝑶</m:t>
                      </m:r>
                    </m:e>
                    <m:sub>
                      <m:r>
                        <a:rPr lang="en-US" sz="1100" b="1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𝟐</m:t>
                      </m:r>
                    </m:sub>
                  </m:sSub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,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𝑨𝒔𝒉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,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𝒂𝒏𝒅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𝒐𝒕𝒉𝒆𝒓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𝒊𝒎𝒑𝒖𝒓𝒊𝒕𝒊𝒆𝒔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𝒘𝒐𝒖𝒍𝒅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𝒃𝒆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𝒑𝒓𝒐𝒅𝒖𝒄𝒆𝒅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𝒘𝒉𝒊𝒄𝒉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𝒘𝒐𝒖𝒍𝒅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𝒓𝒆𝒒𝒖𝒊𝒓𝒆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𝒂𝒏𝒐𝒕𝒉𝒆𝒓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𝒑𝒓𝒐𝒄𝒆𝒔𝒔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𝒕𝒐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𝒓𝒆𝒎𝒐𝒗𝒆</m:t>
                  </m:r>
                  <m:r>
                    <a:rPr lang="en-US" sz="1100" b="1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𝐭𝐡𝐞𝐦</m:t>
                  </m:r>
                  <m:r>
                    <a:rPr lang="en-US" sz="1100" b="1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𝐟𝐫𝐨𝐦</m:t>
                  </m:r>
                  <m:r>
                    <a:rPr lang="en-US" sz="1100" b="1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𝐭𝐡𝐞</m:t>
                  </m:r>
                  <m:r>
                    <a:rPr lang="en-US" sz="1100" b="1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1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𝐩𝐫𝐨𝐝𝐮𝐜𝐭</m:t>
                  </m:r>
                </m:oMath>
              </a14:m>
              <a:endParaRPr lang="en-US" sz="1100" b="1" baseline="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CFFBC8-AF7B-428E-B9F2-28499976A292}"/>
                </a:ext>
              </a:extLst>
            </xdr:cNvPr>
            <xdr:cNvSpPr txBox="1"/>
          </xdr:nvSpPr>
          <xdr:spPr>
            <a:xfrm>
              <a:off x="99060" y="83820"/>
              <a:ext cx="8435340" cy="10934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000" b="1"/>
                <a:t>Problem 6</a:t>
              </a:r>
            </a:p>
            <a:p>
              <a:r>
                <a:rPr lang="en-US" sz="1100" b="0"/>
                <a:t>-in</a:t>
              </a:r>
              <a:r>
                <a:rPr lang="en-US" sz="1100" b="0" baseline="0"/>
                <a:t> the proposed process, coal would be directly placed into the dryer and combusted through direct firing. The stack gases would heat the reaction. </a:t>
              </a:r>
              <a:r>
                <a:rPr lang="en-US" sz="1100" b="1" baseline="0">
                  <a:solidFill>
                    <a:schemeClr val="tx1"/>
                  </a:solidFill>
                </a:rPr>
                <a:t>This process would not work due to components of the combustion of coal. </a:t>
              </a:r>
              <a:r>
                <a:rPr lang="en-US" sz="1100" b="1" i="0" baseline="0">
                  <a:solidFill>
                    <a:schemeClr val="tx1"/>
                  </a:solidFill>
                  <a:latin typeface="Cambria Math" panose="02040503050406030204" pitchFamily="18" charset="0"/>
                </a:rPr>
                <a:t>𝑺𝑶_𝟐,𝑨𝒔𝒉, 𝒂𝒏𝒅 𝒐𝒕𝒉𝒆𝒓 𝒊𝒎𝒑𝒖𝒓𝒊𝒕𝒊𝒆𝒔 𝒘𝒐𝒖𝒍𝒅 𝒃𝒆 𝒑𝒓𝒐𝒅𝒖𝒄𝒆𝒅 𝒘𝒉𝒊𝒄𝒉 𝒘𝒐𝒖𝒍𝒅 𝒓𝒆𝒒𝒖𝒊𝒓𝒆 𝒂𝒏𝒐𝒕𝒉𝒆𝒓 𝒑𝒓𝒐𝒄𝒆𝒔𝒔 𝒕𝒐 𝒓𝒆𝒎𝒐𝒗𝒆 𝐭𝐡𝐞𝐦 𝐟𝐫𝐨𝐦 𝐭𝐡𝐞 𝐩𝐫𝐨𝐝𝐮𝐜𝐭</a:t>
              </a:r>
              <a:endParaRPr lang="en-US" sz="1100" b="1" baseline="0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8</xdr:row>
      <xdr:rowOff>0</xdr:rowOff>
    </xdr:from>
    <xdr:to>
      <xdr:col>4</xdr:col>
      <xdr:colOff>371475</xdr:colOff>
      <xdr:row>11</xdr:row>
      <xdr:rowOff>19050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314450" y="762000"/>
          <a:ext cx="1847850" cy="590550"/>
        </a:xfrm>
        <a:prstGeom prst="flowChartAlternate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Dryer</a:t>
          </a:r>
        </a:p>
      </xdr:txBody>
    </xdr:sp>
    <xdr:clientData/>
  </xdr:twoCellAnchor>
  <xdr:twoCellAnchor>
    <xdr:from>
      <xdr:col>0</xdr:col>
      <xdr:colOff>352425</xdr:colOff>
      <xdr:row>9</xdr:row>
      <xdr:rowOff>104775</xdr:rowOff>
    </xdr:from>
    <xdr:to>
      <xdr:col>2</xdr:col>
      <xdr:colOff>38100</xdr:colOff>
      <xdr:row>9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>
          <a:endCxn id="3" idx="1"/>
        </xdr:cNvCxnSpPr>
      </xdr:nvCxnSpPr>
      <xdr:spPr>
        <a:xfrm>
          <a:off x="352425" y="1057275"/>
          <a:ext cx="96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9</xdr:row>
      <xdr:rowOff>95250</xdr:rowOff>
    </xdr:from>
    <xdr:to>
      <xdr:col>5</xdr:col>
      <xdr:colOff>714375</xdr:colOff>
      <xdr:row>9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3162300" y="1047750"/>
          <a:ext cx="96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809625</xdr:colOff>
      <xdr:row>5</xdr:row>
      <xdr:rowOff>47625</xdr:rowOff>
    </xdr:from>
    <xdr:to>
      <xdr:col>3</xdr:col>
      <xdr:colOff>809625</xdr:colOff>
      <xdr:row>8</xdr:row>
      <xdr:rowOff>9525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/>
      </xdr:nvCxnSpPr>
      <xdr:spPr>
        <a:xfrm flipV="1">
          <a:off x="2695575" y="238125"/>
          <a:ext cx="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4</xdr:row>
      <xdr:rowOff>133350</xdr:rowOff>
    </xdr:from>
    <xdr:to>
      <xdr:col>3</xdr:col>
      <xdr:colOff>9525</xdr:colOff>
      <xdr:row>8</xdr:row>
      <xdr:rowOff>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704975" y="133350"/>
          <a:ext cx="190500" cy="628650"/>
        </a:xfrm>
        <a:prstGeom prst="down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</xdr:colOff>
      <xdr:row>101</xdr:row>
      <xdr:rowOff>0</xdr:rowOff>
    </xdr:from>
    <xdr:to>
      <xdr:col>4</xdr:col>
      <xdr:colOff>342900</xdr:colOff>
      <xdr:row>104</xdr:row>
      <xdr:rowOff>0</xdr:rowOff>
    </xdr:to>
    <xdr:sp macro="" textlink="">
      <xdr:nvSpPr>
        <xdr:cNvPr id="10" name="Flowchart: Alternate Process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685925" y="17392650"/>
          <a:ext cx="2400300" cy="590550"/>
        </a:xfrm>
        <a:prstGeom prst="flowChartAlternate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Dryer</a:t>
          </a:r>
        </a:p>
      </xdr:txBody>
    </xdr:sp>
    <xdr:clientData/>
  </xdr:twoCellAnchor>
  <xdr:twoCellAnchor>
    <xdr:from>
      <xdr:col>0</xdr:col>
      <xdr:colOff>333375</xdr:colOff>
      <xdr:row>102</xdr:row>
      <xdr:rowOff>95250</xdr:rowOff>
    </xdr:from>
    <xdr:to>
      <xdr:col>2</xdr:col>
      <xdr:colOff>19050</xdr:colOff>
      <xdr:row>102</xdr:row>
      <xdr:rowOff>95250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CxnSpPr/>
      </xdr:nvCxnSpPr>
      <xdr:spPr>
        <a:xfrm>
          <a:off x="333375" y="17678400"/>
          <a:ext cx="1362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102</xdr:row>
      <xdr:rowOff>104775</xdr:rowOff>
    </xdr:from>
    <xdr:to>
      <xdr:col>5</xdr:col>
      <xdr:colOff>1095375</xdr:colOff>
      <xdr:row>102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CxnSpPr/>
      </xdr:nvCxnSpPr>
      <xdr:spPr>
        <a:xfrm>
          <a:off x="4095750" y="17687925"/>
          <a:ext cx="1362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1009650</xdr:colOff>
      <xdr:row>97</xdr:row>
      <xdr:rowOff>161925</xdr:rowOff>
    </xdr:from>
    <xdr:to>
      <xdr:col>3</xdr:col>
      <xdr:colOff>1009651</xdr:colOff>
      <xdr:row>101</xdr:row>
      <xdr:rowOff>9525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CxnSpPr/>
      </xdr:nvCxnSpPr>
      <xdr:spPr>
        <a:xfrm flipH="1" flipV="1">
          <a:off x="3505200" y="16792575"/>
          <a:ext cx="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97</xdr:row>
      <xdr:rowOff>133350</xdr:rowOff>
    </xdr:from>
    <xdr:to>
      <xdr:col>3</xdr:col>
      <xdr:colOff>38100</xdr:colOff>
      <xdr:row>101</xdr:row>
      <xdr:rowOff>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2133600" y="16764000"/>
          <a:ext cx="400050" cy="628650"/>
        </a:xfrm>
        <a:prstGeom prst="down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</xdr:colOff>
      <xdr:row>81</xdr:row>
      <xdr:rowOff>129540</xdr:rowOff>
    </xdr:from>
    <xdr:to>
      <xdr:col>4</xdr:col>
      <xdr:colOff>457200</xdr:colOff>
      <xdr:row>84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 txBox="1"/>
          </xdr:nvSpPr>
          <xdr:spPr>
            <a:xfrm>
              <a:off x="777240" y="14965680"/>
              <a:ext cx="3398520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𝑣𝑎𝑝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𝑟𝑥𝑛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𝑠𝑡𝑒𝑎𝑚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777240" y="14965680"/>
              <a:ext cx="3398520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𝐻_𝑜𝑢𝑡+𝐻_𝑣𝑎𝑝+𝐻_𝑟𝑥𝑛−𝐻_𝑖𝑛=𝑄_𝑠𝑡𝑒𝑎𝑚</a:t>
              </a:r>
              <a:endParaRPr lang="en-US" sz="1400"/>
            </a:p>
          </xdr:txBody>
        </xdr:sp>
      </mc:Fallback>
    </mc:AlternateContent>
    <xdr:clientData/>
  </xdr:twoCellAnchor>
  <xdr:twoCellAnchor>
    <xdr:from>
      <xdr:col>1</xdr:col>
      <xdr:colOff>38100</xdr:colOff>
      <xdr:row>142</xdr:row>
      <xdr:rowOff>175260</xdr:rowOff>
    </xdr:from>
    <xdr:to>
      <xdr:col>4</xdr:col>
      <xdr:colOff>480060</xdr:colOff>
      <xdr:row>145</xdr:row>
      <xdr:rowOff>45720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800-000014000000}"/>
                </a:ext>
              </a:extLst>
            </xdr:cNvPr>
            <xdr:cNvSpPr txBox="1"/>
          </xdr:nvSpPr>
          <xdr:spPr>
            <a:xfrm>
              <a:off x="800100" y="26212800"/>
              <a:ext cx="3406140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𝑣𝑎𝑝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𝑟𝑥𝑛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𝑠𝑡𝑒𝑎𝑚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800100" y="26212800"/>
              <a:ext cx="3406140" cy="419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𝐻_𝑜𝑢𝑡+𝐻_𝑣𝑎𝑝+𝐻_𝑟𝑥𝑛−𝐻_𝑖𝑛=𝑄_𝑠𝑡𝑒𝑎𝑚</a:t>
              </a:r>
              <a:endParaRPr lang="en-US" sz="1400"/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111</xdr:row>
      <xdr:rowOff>175260</xdr:rowOff>
    </xdr:from>
    <xdr:to>
      <xdr:col>1</xdr:col>
      <xdr:colOff>457200</xdr:colOff>
      <xdr:row>113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37160" y="20490180"/>
          <a:ext cx="115824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Q=</a:t>
          </a:r>
          <a:r>
            <a:rPr lang="el-GR" sz="1800"/>
            <a:t>Δ</a:t>
          </a:r>
          <a:r>
            <a:rPr lang="en-US" sz="1800"/>
            <a:t>H 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sh/Downloads/ja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am Table"/>
    </sheetNames>
    <sheetDataSet>
      <sheetData sheetId="0">
        <row r="17">
          <cell r="D17">
            <v>791.66666666666663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rxn@2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workbookViewId="0">
      <pane xSplit="2" topLeftCell="G1" activePane="topRight" state="frozen"/>
      <selection pane="topRight" activeCell="K3" sqref="K3"/>
    </sheetView>
  </sheetViews>
  <sheetFormatPr defaultColWidth="8.89453125" defaultRowHeight="14.4" x14ac:dyDescent="0.55000000000000004"/>
  <cols>
    <col min="1" max="1" width="18" style="1" bestFit="1" customWidth="1"/>
    <col min="2" max="2" width="12.3125" style="1" bestFit="1" customWidth="1"/>
    <col min="3" max="3" width="8.89453125" style="1"/>
    <col min="4" max="12" width="9" style="1" bestFit="1" customWidth="1"/>
    <col min="13" max="13" width="8.5234375" style="1" bestFit="1" customWidth="1"/>
    <col min="14" max="23" width="9" style="1" bestFit="1" customWidth="1"/>
    <col min="24" max="24" width="9" style="1" customWidth="1"/>
    <col min="25" max="33" width="9" style="1" bestFit="1" customWidth="1"/>
    <col min="34" max="34" width="8.3125" style="1" bestFit="1" customWidth="1"/>
    <col min="35" max="48" width="9" style="1" bestFit="1" customWidth="1"/>
    <col min="49" max="16384" width="8.89453125" style="1"/>
  </cols>
  <sheetData>
    <row r="1" spans="1:48" ht="14.7" thickBot="1" x14ac:dyDescent="0.6">
      <c r="B1" s="1" t="s">
        <v>23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4" t="s">
        <v>22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4">
        <v>20</v>
      </c>
      <c r="Y1" s="1">
        <v>21</v>
      </c>
      <c r="Z1" s="1">
        <v>22</v>
      </c>
      <c r="AA1" s="1">
        <v>23</v>
      </c>
      <c r="AB1" s="4">
        <v>24</v>
      </c>
      <c r="AC1" s="14" t="s">
        <v>21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</row>
    <row r="2" spans="1:48" ht="15" thickTop="1" thickBot="1" x14ac:dyDescent="0.6">
      <c r="B2" s="1" t="s">
        <v>20</v>
      </c>
      <c r="C2" s="2"/>
      <c r="D2" s="13">
        <v>10</v>
      </c>
      <c r="E2" s="13">
        <v>10</v>
      </c>
      <c r="F2" s="13">
        <v>21.292404339115986</v>
      </c>
      <c r="G2" s="45">
        <v>31.757923053419173</v>
      </c>
      <c r="H2" s="45">
        <v>43.729779515002896</v>
      </c>
      <c r="I2" s="13"/>
      <c r="J2" s="13"/>
      <c r="K2" s="45">
        <f>'4 cont'!D82</f>
        <v>67.347899813011409</v>
      </c>
      <c r="L2" s="45">
        <f>'4 cont'!D37</f>
        <v>63.785352969081508</v>
      </c>
      <c r="M2" s="13">
        <v>60</v>
      </c>
      <c r="N2" s="13">
        <v>49</v>
      </c>
      <c r="O2" s="13">
        <v>38</v>
      </c>
      <c r="P2" s="13">
        <v>27</v>
      </c>
      <c r="Q2" s="13"/>
      <c r="R2" s="13">
        <v>38</v>
      </c>
      <c r="S2" s="13"/>
      <c r="T2" s="13">
        <v>49</v>
      </c>
      <c r="U2" s="13"/>
      <c r="V2" s="13">
        <v>27</v>
      </c>
      <c r="W2" s="13"/>
      <c r="X2" s="13"/>
      <c r="Y2" s="13"/>
      <c r="Z2" s="13">
        <v>25</v>
      </c>
      <c r="AA2" s="13"/>
      <c r="AB2" s="13"/>
      <c r="AC2" s="13"/>
      <c r="AD2" s="13"/>
      <c r="AE2" s="13"/>
      <c r="AF2" s="13">
        <v>60</v>
      </c>
      <c r="AG2" s="13">
        <v>20</v>
      </c>
      <c r="AH2" s="13"/>
      <c r="AI2" s="13"/>
      <c r="AJ2" s="13">
        <v>180</v>
      </c>
      <c r="AK2" s="13"/>
      <c r="AL2" s="13"/>
      <c r="AM2" s="13">
        <v>88</v>
      </c>
      <c r="AN2" s="13"/>
      <c r="AO2" s="13"/>
      <c r="AP2" s="13"/>
      <c r="AQ2" s="13"/>
      <c r="AR2" s="13"/>
      <c r="AS2" s="13"/>
      <c r="AT2" s="13"/>
      <c r="AU2" s="13"/>
      <c r="AV2" s="13"/>
    </row>
    <row r="3" spans="1:48" ht="15" thickTop="1" thickBot="1" x14ac:dyDescent="0.6">
      <c r="B3" s="1" t="s">
        <v>19</v>
      </c>
      <c r="C3" s="2"/>
      <c r="D3" s="13"/>
      <c r="E3" s="13"/>
      <c r="F3" s="13"/>
      <c r="G3" s="13"/>
      <c r="H3" s="13"/>
      <c r="I3" s="13"/>
      <c r="J3" s="13"/>
      <c r="K3" s="13"/>
      <c r="L3" s="13">
        <v>2</v>
      </c>
      <c r="M3" s="13">
        <v>2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14.7" thickTop="1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2">
        <v>744.14833820329773</v>
      </c>
      <c r="W4" s="2">
        <v>6.7149000000000001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14.7" thickBot="1" x14ac:dyDescent="0.6">
      <c r="A5" s="1" t="s">
        <v>18</v>
      </c>
      <c r="C5" s="2"/>
      <c r="D5" s="5" t="s">
        <v>17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5" t="s">
        <v>17</v>
      </c>
      <c r="K5" s="5" t="s">
        <v>17</v>
      </c>
      <c r="L5" s="5" t="s">
        <v>17</v>
      </c>
      <c r="M5" s="5" t="s">
        <v>17</v>
      </c>
      <c r="N5" s="5" t="s">
        <v>17</v>
      </c>
      <c r="O5" s="5" t="s">
        <v>17</v>
      </c>
      <c r="P5" s="5" t="s">
        <v>17</v>
      </c>
      <c r="Q5" s="5" t="s">
        <v>17</v>
      </c>
      <c r="R5" s="5" t="s">
        <v>17</v>
      </c>
      <c r="S5" s="5" t="s">
        <v>17</v>
      </c>
      <c r="T5" s="5" t="s">
        <v>17</v>
      </c>
      <c r="U5" s="5" t="s">
        <v>17</v>
      </c>
      <c r="V5" s="5" t="s">
        <v>17</v>
      </c>
      <c r="W5" s="5" t="s">
        <v>17</v>
      </c>
      <c r="X5" s="5" t="s">
        <v>17</v>
      </c>
      <c r="Y5" s="5" t="s">
        <v>17</v>
      </c>
      <c r="Z5" s="5" t="s">
        <v>17</v>
      </c>
      <c r="AA5" s="5" t="s">
        <v>17</v>
      </c>
      <c r="AB5" s="5" t="s">
        <v>17</v>
      </c>
      <c r="AC5" s="5" t="s">
        <v>17</v>
      </c>
      <c r="AD5" s="5" t="s">
        <v>17</v>
      </c>
      <c r="AE5" s="5" t="s">
        <v>17</v>
      </c>
      <c r="AF5" s="5" t="s">
        <v>17</v>
      </c>
      <c r="AG5" s="5" t="s">
        <v>17</v>
      </c>
      <c r="AH5" s="5" t="s">
        <v>17</v>
      </c>
      <c r="AI5" s="5" t="s">
        <v>17</v>
      </c>
      <c r="AJ5" s="5" t="s">
        <v>17</v>
      </c>
      <c r="AK5" s="5" t="s">
        <v>17</v>
      </c>
      <c r="AL5" s="5" t="s">
        <v>17</v>
      </c>
      <c r="AM5" s="5" t="s">
        <v>17</v>
      </c>
      <c r="AN5" s="5" t="s">
        <v>17</v>
      </c>
      <c r="AO5" s="5" t="s">
        <v>17</v>
      </c>
      <c r="AP5" s="5" t="s">
        <v>17</v>
      </c>
      <c r="AQ5" s="5" t="s">
        <v>17</v>
      </c>
      <c r="AR5" s="5" t="s">
        <v>17</v>
      </c>
      <c r="AS5" s="5" t="s">
        <v>17</v>
      </c>
      <c r="AT5" s="5" t="s">
        <v>17</v>
      </c>
      <c r="AU5" s="5" t="s">
        <v>17</v>
      </c>
      <c r="AV5" s="5" t="s">
        <v>17</v>
      </c>
    </row>
    <row r="6" spans="1:48" ht="15" thickTop="1" thickBot="1" x14ac:dyDescent="0.6">
      <c r="A6" s="1">
        <v>105.98</v>
      </c>
      <c r="B6" s="1" t="s">
        <v>10</v>
      </c>
      <c r="D6" s="9">
        <v>49.083333333333329</v>
      </c>
      <c r="E6" s="9">
        <v>49.083333333333329</v>
      </c>
      <c r="F6" s="9">
        <v>49.083333333333329</v>
      </c>
      <c r="G6" s="9">
        <v>49.083333333333329</v>
      </c>
      <c r="H6" s="9">
        <v>49.083333333333329</v>
      </c>
      <c r="I6" s="8">
        <v>0</v>
      </c>
      <c r="J6" s="9">
        <v>47.950961659432593</v>
      </c>
      <c r="K6" s="9">
        <v>47.950961659432593</v>
      </c>
      <c r="L6" s="9">
        <v>24.541666666666664</v>
      </c>
      <c r="M6" s="8">
        <v>0</v>
      </c>
      <c r="N6" s="8">
        <v>0</v>
      </c>
      <c r="O6" s="8">
        <v>0</v>
      </c>
      <c r="P6" s="8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8">
        <v>0</v>
      </c>
      <c r="X6" s="8">
        <v>0</v>
      </c>
      <c r="Y6" s="9">
        <v>0</v>
      </c>
      <c r="Z6" s="8">
        <v>0</v>
      </c>
      <c r="AA6" s="8"/>
      <c r="AB6" s="8">
        <v>0</v>
      </c>
      <c r="AC6" s="8">
        <v>0</v>
      </c>
      <c r="AD6" s="8"/>
      <c r="AE6" s="8"/>
      <c r="AF6" s="8"/>
      <c r="AG6" s="8"/>
      <c r="AH6" s="8"/>
      <c r="AI6" s="8"/>
      <c r="AJ6" s="10">
        <v>42.832484090785961</v>
      </c>
      <c r="AK6" s="10"/>
      <c r="AL6" s="10">
        <v>42.832484090785961</v>
      </c>
      <c r="AM6" s="8">
        <v>0</v>
      </c>
      <c r="AN6" s="8"/>
      <c r="AO6" s="8">
        <v>0</v>
      </c>
      <c r="AP6" s="8"/>
      <c r="AQ6" s="8"/>
      <c r="AR6" s="8"/>
      <c r="AS6" s="8"/>
      <c r="AT6" s="8">
        <v>0</v>
      </c>
      <c r="AU6" s="8">
        <v>0</v>
      </c>
      <c r="AV6" s="8"/>
    </row>
    <row r="7" spans="1:48" ht="15" thickTop="1" thickBot="1" x14ac:dyDescent="0.6">
      <c r="A7" s="1">
        <v>84.007000000000005</v>
      </c>
      <c r="B7" s="4" t="s">
        <v>9</v>
      </c>
      <c r="D7" s="9">
        <v>4.75</v>
      </c>
      <c r="E7" s="9">
        <v>4.75</v>
      </c>
      <c r="F7" s="9">
        <v>4.75</v>
      </c>
      <c r="G7" s="9">
        <v>4.75</v>
      </c>
      <c r="H7" s="9">
        <v>4.75</v>
      </c>
      <c r="I7" s="8">
        <v>0</v>
      </c>
      <c r="J7" s="9">
        <v>9.0729787416214087</v>
      </c>
      <c r="K7" s="9">
        <v>9.0729787416214087</v>
      </c>
      <c r="L7" s="9">
        <v>18.21</v>
      </c>
      <c r="M7" s="9">
        <v>18.208333333333332</v>
      </c>
      <c r="N7" s="8">
        <v>16.329999999999998</v>
      </c>
      <c r="O7" s="8">
        <v>15.5</v>
      </c>
      <c r="P7" s="9">
        <v>14.659701685576096</v>
      </c>
      <c r="Q7" s="9">
        <v>14.659701685576096</v>
      </c>
      <c r="R7" s="9">
        <v>14.659701685576096</v>
      </c>
      <c r="S7" s="9">
        <v>14.659701685576096</v>
      </c>
      <c r="T7" s="9">
        <v>14.659701685576096</v>
      </c>
      <c r="U7" s="9">
        <v>14.659701685576096</v>
      </c>
      <c r="V7" s="9">
        <v>14.659701685576096</v>
      </c>
      <c r="W7" s="8">
        <v>14.527420414278964</v>
      </c>
      <c r="X7" s="8">
        <v>14.643733690315567</v>
      </c>
      <c r="Y7" s="9">
        <v>0.1322812712971313</v>
      </c>
      <c r="Z7" s="9">
        <v>0.113</v>
      </c>
      <c r="AA7" s="8"/>
      <c r="AB7" s="8">
        <v>0.11631327603660253</v>
      </c>
      <c r="AC7" s="8">
        <v>0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>
        <v>0</v>
      </c>
      <c r="AP7" s="8"/>
      <c r="AQ7" s="8"/>
      <c r="AR7" s="8"/>
      <c r="AS7" s="8"/>
      <c r="AT7" s="8">
        <v>0</v>
      </c>
      <c r="AU7" s="8">
        <v>0</v>
      </c>
      <c r="AV7" s="8"/>
    </row>
    <row r="8" spans="1:48" ht="15" thickTop="1" thickBot="1" x14ac:dyDescent="0.6">
      <c r="A8" s="1">
        <f>A7</f>
        <v>84.007000000000005</v>
      </c>
      <c r="B8" s="4" t="s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v>0</v>
      </c>
      <c r="L8" s="9">
        <v>27.608298045403394</v>
      </c>
      <c r="M8" s="9">
        <v>64.35528401585205</v>
      </c>
      <c r="N8" s="8">
        <v>66.23</v>
      </c>
      <c r="O8" s="8">
        <v>67.069999999999993</v>
      </c>
      <c r="P8" s="9">
        <v>67.903915663609283</v>
      </c>
      <c r="Q8" s="9">
        <v>67.903915663609283</v>
      </c>
      <c r="R8" s="9">
        <v>67.903915663609283</v>
      </c>
      <c r="S8" s="9">
        <v>67.903915663609283</v>
      </c>
      <c r="T8" s="9">
        <v>67.903915663609283</v>
      </c>
      <c r="U8" s="9">
        <v>67.903915663609283</v>
      </c>
      <c r="V8" s="9">
        <v>67.903915663609283</v>
      </c>
      <c r="W8" s="8">
        <v>0</v>
      </c>
      <c r="X8" s="8">
        <v>0</v>
      </c>
      <c r="Y8" s="9">
        <v>67.903915663609283</v>
      </c>
      <c r="Z8" s="9">
        <v>67.903915663609283</v>
      </c>
      <c r="AA8" s="8"/>
      <c r="AB8" s="8">
        <v>0</v>
      </c>
      <c r="AC8" s="8">
        <v>0</v>
      </c>
      <c r="AD8" s="8"/>
      <c r="AE8" s="8"/>
      <c r="AF8" s="8"/>
      <c r="AG8" s="8"/>
      <c r="AH8" s="8"/>
      <c r="AI8" s="8"/>
      <c r="AJ8" s="9">
        <v>0</v>
      </c>
      <c r="AK8" s="8"/>
      <c r="AL8" s="8">
        <v>0</v>
      </c>
      <c r="AM8" s="8"/>
      <c r="AN8" s="8"/>
      <c r="AO8" s="8">
        <v>0</v>
      </c>
      <c r="AP8" s="8"/>
      <c r="AQ8" s="8"/>
      <c r="AR8" s="8"/>
      <c r="AS8" s="8"/>
      <c r="AT8" s="8">
        <v>0</v>
      </c>
      <c r="AU8" s="8">
        <v>0</v>
      </c>
      <c r="AV8" s="8"/>
    </row>
    <row r="9" spans="1:48" ht="15" thickTop="1" thickBot="1" x14ac:dyDescent="0.6">
      <c r="A9" s="4">
        <f>A8</f>
        <v>84.007000000000005</v>
      </c>
      <c r="B9" s="1" t="s">
        <v>7</v>
      </c>
      <c r="D9" s="9">
        <v>4.75</v>
      </c>
      <c r="E9" s="9">
        <v>4.75</v>
      </c>
      <c r="F9" s="9">
        <v>4.75</v>
      </c>
      <c r="G9" s="9">
        <v>4.75</v>
      </c>
      <c r="H9" s="9">
        <v>4.75</v>
      </c>
      <c r="I9" s="8">
        <v>0</v>
      </c>
      <c r="J9" s="9">
        <v>9.0729787416214087</v>
      </c>
      <c r="K9" s="9">
        <v>9.0729787416214087</v>
      </c>
      <c r="L9" s="9">
        <v>45.818298045403395</v>
      </c>
      <c r="M9" s="9">
        <v>82.563617349185378</v>
      </c>
      <c r="N9" s="8">
        <v>82.56</v>
      </c>
      <c r="O9" s="8">
        <v>82.57</v>
      </c>
      <c r="P9" s="9">
        <v>82.563617349185378</v>
      </c>
      <c r="Q9" s="9">
        <v>82.563617349185378</v>
      </c>
      <c r="R9" s="9">
        <v>82.563617349185378</v>
      </c>
      <c r="S9" s="9">
        <v>82.563617349185378</v>
      </c>
      <c r="T9" s="9">
        <v>82.563617349185378</v>
      </c>
      <c r="U9" s="9">
        <v>82.563617349185378</v>
      </c>
      <c r="V9" s="9">
        <v>82.563617349185378</v>
      </c>
      <c r="W9" s="8">
        <v>14.527420414278964</v>
      </c>
      <c r="X9" s="8">
        <v>14.643733690315567</v>
      </c>
      <c r="Y9" s="9">
        <v>68.036196934906414</v>
      </c>
      <c r="Z9" s="9">
        <v>73.940432432330027</v>
      </c>
      <c r="AA9" s="8"/>
      <c r="AB9" s="8">
        <v>0.11631327603660253</v>
      </c>
      <c r="AC9" s="8">
        <v>0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>
        <v>0</v>
      </c>
      <c r="AP9" s="8"/>
      <c r="AQ9" s="8"/>
      <c r="AR9" s="8"/>
      <c r="AS9" s="8"/>
      <c r="AT9" s="8">
        <v>0</v>
      </c>
      <c r="AU9" s="8">
        <v>0</v>
      </c>
      <c r="AV9" s="8"/>
    </row>
    <row r="10" spans="1:48" ht="15" thickTop="1" thickBot="1" x14ac:dyDescent="0.6">
      <c r="A10" s="4">
        <v>58.45</v>
      </c>
      <c r="B10" s="4" t="s">
        <v>6</v>
      </c>
      <c r="D10" s="9">
        <v>150.41666666666666</v>
      </c>
      <c r="E10" s="9">
        <v>150.41666666666666</v>
      </c>
      <c r="F10" s="9">
        <v>150.41666666666666</v>
      </c>
      <c r="G10" s="9">
        <v>150.41666666666666</v>
      </c>
      <c r="H10" s="9">
        <v>150.41666666666666</v>
      </c>
      <c r="I10" s="8">
        <v>0</v>
      </c>
      <c r="J10" s="9">
        <v>150.41666666666666</v>
      </c>
      <c r="K10" s="9">
        <v>150.41666666666666</v>
      </c>
      <c r="L10" s="9">
        <v>150.41666666666666</v>
      </c>
      <c r="M10" s="9">
        <v>150.41666666666666</v>
      </c>
      <c r="N10" s="9">
        <v>150.41666666666666</v>
      </c>
      <c r="O10" s="9">
        <v>150.41666666666666</v>
      </c>
      <c r="P10" s="9">
        <v>150.41666666666666</v>
      </c>
      <c r="Q10" s="9">
        <v>150.41666666666666</v>
      </c>
      <c r="R10" s="9">
        <v>150.41666666666666</v>
      </c>
      <c r="S10" s="9">
        <v>150.41666666666666</v>
      </c>
      <c r="T10" s="9">
        <v>150.41666666666666</v>
      </c>
      <c r="U10" s="9">
        <v>150.41666666666666</v>
      </c>
      <c r="V10" s="9">
        <v>150.41666666666666</v>
      </c>
      <c r="W10" s="8">
        <v>149.0593874861141</v>
      </c>
      <c r="X10" s="8">
        <v>150.25282618259996</v>
      </c>
      <c r="Y10" s="9">
        <v>1.3572791805525526</v>
      </c>
      <c r="Z10" s="8">
        <v>5.6000000000000001E-2</v>
      </c>
      <c r="AA10" s="8"/>
      <c r="AB10" s="8">
        <v>1.1934386964858688</v>
      </c>
      <c r="AC10" s="8">
        <v>0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>
        <v>0</v>
      </c>
      <c r="AP10" s="8"/>
      <c r="AQ10" s="8"/>
      <c r="AR10" s="8"/>
      <c r="AS10" s="8"/>
      <c r="AT10" s="8">
        <v>0</v>
      </c>
      <c r="AU10" s="8">
        <v>0</v>
      </c>
      <c r="AV10" s="8"/>
    </row>
    <row r="11" spans="1:48" ht="15" thickTop="1" thickBot="1" x14ac:dyDescent="0.6">
      <c r="A11" s="4">
        <v>142.04</v>
      </c>
      <c r="B11" s="4" t="s">
        <v>5</v>
      </c>
      <c r="D11" s="9">
        <v>31.666666666666664</v>
      </c>
      <c r="E11" s="9">
        <v>31.666666666666664</v>
      </c>
      <c r="F11" s="9">
        <v>31.666666666666664</v>
      </c>
      <c r="G11" s="9">
        <v>31.666666666666664</v>
      </c>
      <c r="H11" s="9">
        <v>31.666666666666664</v>
      </c>
      <c r="I11" s="8">
        <v>0</v>
      </c>
      <c r="J11" s="9">
        <v>31.666666666666664</v>
      </c>
      <c r="K11" s="9">
        <v>31.666666666666664</v>
      </c>
      <c r="L11" s="9">
        <v>31.666666666666664</v>
      </c>
      <c r="M11" s="9">
        <v>31.666666666666664</v>
      </c>
      <c r="N11" s="9">
        <v>31.666666666666664</v>
      </c>
      <c r="O11" s="9">
        <v>31.666666666666664</v>
      </c>
      <c r="P11" s="9">
        <v>31.666666666666664</v>
      </c>
      <c r="Q11" s="9">
        <v>31.666666666666664</v>
      </c>
      <c r="R11" s="9">
        <v>31.666666666666664</v>
      </c>
      <c r="S11" s="9">
        <v>31.666666666666664</v>
      </c>
      <c r="T11" s="9">
        <v>31.666666666666664</v>
      </c>
      <c r="U11" s="9">
        <v>31.666666666666664</v>
      </c>
      <c r="V11" s="9">
        <v>31.666666666666664</v>
      </c>
      <c r="W11" s="8">
        <v>31.380923681287179</v>
      </c>
      <c r="X11" s="8">
        <v>31.63217393317894</v>
      </c>
      <c r="Y11" s="9">
        <v>0.2857429853794855</v>
      </c>
      <c r="Z11" s="8">
        <v>1.2E-2</v>
      </c>
      <c r="AA11" s="8"/>
      <c r="AB11" s="8">
        <v>0.25125025189176181</v>
      </c>
      <c r="AC11" s="8">
        <v>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>
        <v>0</v>
      </c>
      <c r="AP11" s="8"/>
      <c r="AQ11" s="8"/>
      <c r="AR11" s="8"/>
      <c r="AS11" s="8"/>
      <c r="AT11" s="8">
        <v>0</v>
      </c>
      <c r="AU11" s="8">
        <v>0</v>
      </c>
      <c r="AV11" s="8"/>
    </row>
    <row r="12" spans="1:48" ht="15" thickTop="1" thickBot="1" x14ac:dyDescent="0.6">
      <c r="A12" s="4">
        <v>18.02</v>
      </c>
      <c r="B12" s="4" t="s">
        <v>4</v>
      </c>
      <c r="D12" s="9">
        <v>555.75</v>
      </c>
      <c r="E12" s="9">
        <v>555.75</v>
      </c>
      <c r="F12" s="9">
        <v>555.75</v>
      </c>
      <c r="G12" s="9">
        <v>555.75</v>
      </c>
      <c r="H12" s="9">
        <v>555.75</v>
      </c>
      <c r="I12" s="8">
        <v>0</v>
      </c>
      <c r="J12" s="9">
        <v>555.28634770361987</v>
      </c>
      <c r="K12" s="9">
        <v>555.28634770361987</v>
      </c>
      <c r="L12" s="9">
        <v>551.3453031843884</v>
      </c>
      <c r="M12" s="9">
        <v>547.40530318438834</v>
      </c>
      <c r="N12" s="9">
        <v>547.40530318438834</v>
      </c>
      <c r="O12" s="9">
        <v>547.40530318438834</v>
      </c>
      <c r="P12" s="9">
        <v>547.40530318438834</v>
      </c>
      <c r="Q12" s="9">
        <v>547.40530318438834</v>
      </c>
      <c r="R12" s="9">
        <v>547.40530318438834</v>
      </c>
      <c r="S12" s="9">
        <v>547.40530318438834</v>
      </c>
      <c r="T12" s="9">
        <v>547.40530318438834</v>
      </c>
      <c r="U12" s="9">
        <v>547.40530318438834</v>
      </c>
      <c r="V12" s="9">
        <v>547.40530318438834</v>
      </c>
      <c r="W12" s="8">
        <v>542.46581185140508</v>
      </c>
      <c r="X12" s="8">
        <v>546.80904512441441</v>
      </c>
      <c r="Y12" s="9">
        <v>4.9394913329832661</v>
      </c>
      <c r="Z12" s="9">
        <v>6.53</v>
      </c>
      <c r="AA12" s="8">
        <v>13.829000000000001</v>
      </c>
      <c r="AB12" s="8">
        <v>4.3432332730093846</v>
      </c>
      <c r="AC12" s="8">
        <v>0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1">
        <v>9.0014122740479046</v>
      </c>
      <c r="AP12" s="8"/>
      <c r="AQ12" s="8"/>
      <c r="AR12" s="8"/>
      <c r="AS12" s="8"/>
      <c r="AT12" s="8">
        <v>0</v>
      </c>
      <c r="AU12" s="8">
        <v>0</v>
      </c>
      <c r="AV12" s="8"/>
    </row>
    <row r="13" spans="1:48" ht="15" thickTop="1" thickBot="1" x14ac:dyDescent="0.6">
      <c r="A13" s="4">
        <v>44.01</v>
      </c>
      <c r="B13" s="4" t="s">
        <v>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2.2647433478014718</v>
      </c>
      <c r="J13" s="8">
        <v>0</v>
      </c>
      <c r="K13" s="9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8">
        <v>0</v>
      </c>
      <c r="X13" s="8">
        <v>0</v>
      </c>
      <c r="Y13" s="9">
        <v>0</v>
      </c>
      <c r="Z13" s="8">
        <v>0</v>
      </c>
      <c r="AA13" s="9">
        <v>17.786918520810435</v>
      </c>
      <c r="AB13" s="8">
        <v>0</v>
      </c>
      <c r="AC13" s="9">
        <v>1.7786918520810435</v>
      </c>
      <c r="AD13" s="9">
        <v>16.008226668729392</v>
      </c>
      <c r="AE13" s="9">
        <v>16.008226668729392</v>
      </c>
      <c r="AF13" s="9">
        <v>16.008226668729392</v>
      </c>
      <c r="AG13" s="10">
        <v>6.6392068092853274</v>
      </c>
      <c r="AH13" s="10">
        <v>22.647433478014719</v>
      </c>
      <c r="AI13" s="10">
        <v>11.323716739007359</v>
      </c>
      <c r="AJ13" s="8"/>
      <c r="AK13" s="8"/>
      <c r="AL13" s="8"/>
      <c r="AM13" s="8"/>
      <c r="AN13" s="8"/>
      <c r="AO13" s="8">
        <v>0</v>
      </c>
      <c r="AP13" s="8"/>
      <c r="AQ13" s="8"/>
      <c r="AR13" s="8"/>
      <c r="AS13" s="8"/>
      <c r="AT13" s="8">
        <v>1.6990000000000001</v>
      </c>
      <c r="AU13" s="8">
        <v>3.3969999999999998</v>
      </c>
      <c r="AV13" s="8"/>
    </row>
    <row r="14" spans="1:48" ht="15" thickTop="1" thickBot="1" x14ac:dyDescent="0.6">
      <c r="A14" s="4">
        <v>124.01</v>
      </c>
      <c r="B14" s="4" t="s">
        <v>13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9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8">
        <v>0</v>
      </c>
      <c r="X14" s="8">
        <v>0</v>
      </c>
      <c r="Y14" s="9">
        <v>0</v>
      </c>
      <c r="Z14" s="8">
        <v>0</v>
      </c>
      <c r="AA14" s="8"/>
      <c r="AB14" s="8">
        <v>0</v>
      </c>
      <c r="AC14" s="8">
        <v>0</v>
      </c>
      <c r="AD14" s="8"/>
      <c r="AE14" s="8"/>
      <c r="AF14" s="8"/>
      <c r="AG14" s="8"/>
      <c r="AH14" s="8"/>
      <c r="AI14" s="8"/>
      <c r="AJ14" s="8"/>
      <c r="AK14" s="8"/>
      <c r="AL14" s="8"/>
      <c r="AM14" s="10">
        <v>50.119422080565833</v>
      </c>
      <c r="AN14" s="8"/>
      <c r="AO14" s="8">
        <v>0</v>
      </c>
      <c r="AP14" s="8"/>
      <c r="AQ14" s="8"/>
      <c r="AR14" s="8"/>
      <c r="AS14" s="8"/>
      <c r="AT14" s="8">
        <v>0</v>
      </c>
      <c r="AU14" s="8">
        <v>0</v>
      </c>
      <c r="AV14" s="8"/>
    </row>
    <row r="15" spans="1:48" ht="15" thickTop="1" thickBot="1" x14ac:dyDescent="0.6">
      <c r="A15" s="4">
        <v>28</v>
      </c>
      <c r="B15" s="4" t="s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9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8">
        <v>0</v>
      </c>
      <c r="X15" s="8">
        <v>0</v>
      </c>
      <c r="Y15" s="9">
        <v>0</v>
      </c>
      <c r="Z15" s="8">
        <v>0</v>
      </c>
      <c r="AA15" s="8">
        <v>1.2210000000000001</v>
      </c>
      <c r="AB15" s="8">
        <v>0</v>
      </c>
      <c r="AC15" s="8">
        <v>0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>
        <v>0</v>
      </c>
      <c r="AP15" s="8"/>
      <c r="AQ15" s="8"/>
      <c r="AR15" s="8"/>
      <c r="AS15" s="8"/>
      <c r="AT15" s="8">
        <v>0</v>
      </c>
      <c r="AU15" s="8">
        <v>0</v>
      </c>
      <c r="AV15" s="8"/>
    </row>
    <row r="16" spans="1:48" ht="15" thickTop="1" thickBot="1" x14ac:dyDescent="0.6">
      <c r="A16" s="4">
        <v>32</v>
      </c>
      <c r="B16" s="4" t="s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9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8">
        <v>0</v>
      </c>
      <c r="X16" s="8">
        <v>0</v>
      </c>
      <c r="Y16" s="9">
        <v>0</v>
      </c>
      <c r="Z16" s="8">
        <v>0</v>
      </c>
      <c r="AA16" s="8">
        <v>0.371</v>
      </c>
      <c r="AB16" s="8">
        <v>0</v>
      </c>
      <c r="AC16" s="8">
        <v>0</v>
      </c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>
        <v>0</v>
      </c>
      <c r="AP16" s="8"/>
      <c r="AQ16" s="8"/>
      <c r="AR16" s="8"/>
      <c r="AS16" s="8"/>
      <c r="AT16" s="8">
        <v>0</v>
      </c>
      <c r="AU16" s="8">
        <v>0</v>
      </c>
      <c r="AV16" s="8"/>
    </row>
    <row r="17" spans="1:48" ht="14.7" thickTop="1" x14ac:dyDescent="0.55000000000000004">
      <c r="B17" s="4" t="s">
        <v>16</v>
      </c>
      <c r="D17" s="7">
        <v>791.66666666666663</v>
      </c>
      <c r="E17" s="7">
        <v>791.66666666666663</v>
      </c>
      <c r="F17" s="7">
        <v>791.66666666666663</v>
      </c>
      <c r="G17" s="7">
        <v>791.66666666666663</v>
      </c>
      <c r="H17" s="7">
        <v>791.66666666666663</v>
      </c>
      <c r="I17" s="7">
        <v>2.2647433478014718</v>
      </c>
      <c r="J17" s="7">
        <v>794.39362143800713</v>
      </c>
      <c r="K17" s="7">
        <v>794.39362143800713</v>
      </c>
      <c r="L17" s="7">
        <v>803.78860122979177</v>
      </c>
      <c r="M17" s="7">
        <v>812.05225386690699</v>
      </c>
      <c r="N17" s="7">
        <v>812.04863651772166</v>
      </c>
      <c r="O17" s="7">
        <v>812.05863651772165</v>
      </c>
      <c r="P17" s="7">
        <v>812.05225386690699</v>
      </c>
      <c r="Q17" s="7">
        <v>812.05225386690699</v>
      </c>
      <c r="R17" s="7">
        <v>812.05225386690699</v>
      </c>
      <c r="S17" s="7">
        <v>812.05225386690699</v>
      </c>
      <c r="T17" s="7">
        <v>812.05225386690699</v>
      </c>
      <c r="U17" s="7">
        <v>812.05225386690699</v>
      </c>
      <c r="V17" s="7">
        <v>812.05225386690699</v>
      </c>
      <c r="W17" s="7">
        <v>737.43354343308533</v>
      </c>
      <c r="X17" s="7">
        <v>743.33777893050888</v>
      </c>
      <c r="Y17" s="7">
        <v>74.618710433821718</v>
      </c>
      <c r="Z17" s="7">
        <f>SUM(Z6,Z7,Z8,Z10,Z11,Z12,Z13,Z16,Z14,Z15)</f>
        <v>74.614915663609281</v>
      </c>
      <c r="AA17" s="7">
        <v>17.786918520810435</v>
      </c>
      <c r="AB17" s="7">
        <v>5.9042354974236178</v>
      </c>
      <c r="AC17" s="7">
        <v>1.7786918520810435</v>
      </c>
      <c r="AD17" s="7">
        <v>16.008226668729392</v>
      </c>
      <c r="AE17" s="7">
        <v>16.008226668729392</v>
      </c>
      <c r="AF17" s="7">
        <v>16.008226668729392</v>
      </c>
      <c r="AG17" s="7">
        <v>6.6392068092853274</v>
      </c>
      <c r="AH17" s="7">
        <v>22.647433478014719</v>
      </c>
      <c r="AI17" s="7">
        <v>11.323716739007359</v>
      </c>
      <c r="AJ17" s="7">
        <v>42.832484090785961</v>
      </c>
      <c r="AK17" s="7">
        <v>0</v>
      </c>
      <c r="AL17" s="7">
        <v>42.832484090785961</v>
      </c>
      <c r="AM17" s="7">
        <v>50.119422080565833</v>
      </c>
      <c r="AN17" s="7">
        <v>0</v>
      </c>
      <c r="AO17" s="7">
        <v>9.0014122740479046</v>
      </c>
      <c r="AP17" s="7">
        <v>0</v>
      </c>
      <c r="AQ17" s="7">
        <v>0</v>
      </c>
      <c r="AR17" s="7">
        <v>0</v>
      </c>
      <c r="AS17" s="7">
        <v>0</v>
      </c>
      <c r="AT17" s="7">
        <v>1.6990000000000001</v>
      </c>
      <c r="AU17" s="7">
        <v>3.3969999999999998</v>
      </c>
      <c r="AV17" s="7">
        <v>0</v>
      </c>
    </row>
    <row r="18" spans="1:48" x14ac:dyDescent="0.55000000000000004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t="14.7" thickBot="1" x14ac:dyDescent="0.6">
      <c r="A19" s="1" t="s">
        <v>15</v>
      </c>
      <c r="B19" s="1" t="s">
        <v>14</v>
      </c>
      <c r="C19" s="6"/>
      <c r="D19" s="5" t="s">
        <v>193</v>
      </c>
      <c r="E19" s="5" t="s">
        <v>193</v>
      </c>
      <c r="F19" s="5" t="s">
        <v>193</v>
      </c>
      <c r="G19" s="5" t="s">
        <v>193</v>
      </c>
      <c r="H19" s="5" t="s">
        <v>193</v>
      </c>
      <c r="I19" s="5" t="s">
        <v>193</v>
      </c>
      <c r="J19" s="5" t="s">
        <v>193</v>
      </c>
      <c r="K19" s="5" t="s">
        <v>193</v>
      </c>
      <c r="L19" s="5" t="s">
        <v>193</v>
      </c>
      <c r="M19" s="5" t="s">
        <v>193</v>
      </c>
      <c r="N19" s="5" t="s">
        <v>193</v>
      </c>
      <c r="O19" s="5" t="s">
        <v>193</v>
      </c>
      <c r="P19" s="5" t="s">
        <v>193</v>
      </c>
      <c r="Q19" s="5" t="s">
        <v>193</v>
      </c>
      <c r="R19" s="5" t="s">
        <v>193</v>
      </c>
      <c r="S19" s="5" t="s">
        <v>193</v>
      </c>
      <c r="T19" s="5" t="s">
        <v>193</v>
      </c>
      <c r="U19" s="5" t="s">
        <v>193</v>
      </c>
      <c r="V19" s="5" t="s">
        <v>193</v>
      </c>
      <c r="W19" s="5" t="s">
        <v>193</v>
      </c>
      <c r="X19" s="5" t="s">
        <v>193</v>
      </c>
      <c r="Y19" s="5" t="s">
        <v>193</v>
      </c>
      <c r="Z19" s="5" t="s">
        <v>193</v>
      </c>
      <c r="AA19" s="5" t="s">
        <v>193</v>
      </c>
      <c r="AB19" s="5" t="s">
        <v>193</v>
      </c>
      <c r="AC19" s="5" t="s">
        <v>193</v>
      </c>
      <c r="AD19" s="5" t="s">
        <v>193</v>
      </c>
      <c r="AE19" s="5" t="s">
        <v>193</v>
      </c>
      <c r="AF19" s="5" t="s">
        <v>193</v>
      </c>
      <c r="AG19" s="5" t="s">
        <v>193</v>
      </c>
      <c r="AH19" s="5" t="s">
        <v>193</v>
      </c>
      <c r="AI19" s="5" t="s">
        <v>193</v>
      </c>
      <c r="AJ19" s="5" t="s">
        <v>193</v>
      </c>
      <c r="AK19" s="5" t="s">
        <v>193</v>
      </c>
      <c r="AL19" s="5" t="s">
        <v>193</v>
      </c>
      <c r="AM19" s="5" t="s">
        <v>193</v>
      </c>
      <c r="AN19" s="5" t="s">
        <v>193</v>
      </c>
      <c r="AO19" s="5" t="s">
        <v>193</v>
      </c>
      <c r="AP19" s="5" t="s">
        <v>193</v>
      </c>
      <c r="AQ19" s="5" t="s">
        <v>193</v>
      </c>
      <c r="AR19" s="5" t="s">
        <v>193</v>
      </c>
      <c r="AS19" s="5" t="s">
        <v>193</v>
      </c>
      <c r="AT19" s="5" t="s">
        <v>193</v>
      </c>
      <c r="AU19" s="5" t="s">
        <v>193</v>
      </c>
      <c r="AV19" s="5" t="s">
        <v>193</v>
      </c>
    </row>
    <row r="20" spans="1:48" ht="15" thickTop="1" thickBot="1" x14ac:dyDescent="0.6">
      <c r="A20" s="1">
        <v>105.98</v>
      </c>
      <c r="B20" s="1" t="s">
        <v>10</v>
      </c>
      <c r="C20" s="2"/>
      <c r="D20" s="3">
        <v>6.2E-2</v>
      </c>
      <c r="E20" s="3">
        <v>6.2E-2</v>
      </c>
      <c r="F20" s="3">
        <v>6.2E-2</v>
      </c>
      <c r="G20" s="3">
        <v>6.2E-2</v>
      </c>
      <c r="H20" s="3">
        <v>6.2E-2</v>
      </c>
      <c r="I20" s="3">
        <v>0</v>
      </c>
      <c r="J20" s="3">
        <v>6.0361715357975833E-2</v>
      </c>
      <c r="K20" s="3">
        <v>6.0361715357975833E-2</v>
      </c>
      <c r="L20" s="3">
        <v>3.0532489051372538E-2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ht="15" thickTop="1" thickBot="1" x14ac:dyDescent="0.6">
      <c r="A21" s="1">
        <v>84.007000000000005</v>
      </c>
      <c r="B21" s="1" t="s">
        <v>9</v>
      </c>
      <c r="C21" s="2"/>
      <c r="D21" s="3">
        <v>6.0000000000000001E-3</v>
      </c>
      <c r="E21" s="3">
        <v>6.0000000000000001E-3</v>
      </c>
      <c r="F21" s="3">
        <v>6.0000000000000001E-3</v>
      </c>
      <c r="G21" s="3">
        <v>6.0000000000000001E-3</v>
      </c>
      <c r="H21" s="3">
        <v>6.0000000000000001E-3</v>
      </c>
      <c r="I21" s="3">
        <v>0</v>
      </c>
      <c r="J21" s="3">
        <v>1.142126333441292E-2</v>
      </c>
      <c r="K21" s="3">
        <v>1.142126333441292E-2</v>
      </c>
      <c r="L21" s="3">
        <v>2.265521055180281E-2</v>
      </c>
      <c r="M21" s="3">
        <v>2.2422612888058833E-2</v>
      </c>
      <c r="N21" s="3">
        <v>2.0109632927933156E-2</v>
      </c>
      <c r="O21" s="3">
        <v>1.9087291610452247E-2</v>
      </c>
      <c r="P21" s="3">
        <v>1.8052658084215821E-2</v>
      </c>
      <c r="Q21" s="3">
        <v>1.8052658084215821E-2</v>
      </c>
      <c r="R21" s="3">
        <v>1.8052658084215821E-2</v>
      </c>
      <c r="S21" s="3">
        <v>1.8052658084215821E-2</v>
      </c>
      <c r="T21" s="3">
        <v>1.8052658084215821E-2</v>
      </c>
      <c r="U21" s="3">
        <v>1.8052658084215821E-2</v>
      </c>
      <c r="V21" s="3">
        <v>1.8052658084215821E-2</v>
      </c>
      <c r="W21" s="3">
        <v>1.9699972348216327E-2</v>
      </c>
      <c r="X21" s="3">
        <v>1.969997234821633E-2</v>
      </c>
      <c r="Y21" s="3">
        <v>1.7727627632274574E-3</v>
      </c>
      <c r="Z21" s="3">
        <v>8.1367426030479945E-2</v>
      </c>
      <c r="AA21" s="3">
        <v>0</v>
      </c>
      <c r="AB21" s="3">
        <v>1.9699972348216327E-2</v>
      </c>
      <c r="AC21" s="3">
        <v>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 ht="15" thickTop="1" thickBot="1" x14ac:dyDescent="0.6">
      <c r="A22" s="1">
        <f>A21</f>
        <v>84.007000000000005</v>
      </c>
      <c r="B22" s="1" t="s">
        <v>8</v>
      </c>
      <c r="C22" s="2"/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3.4347710334735854E-2</v>
      </c>
      <c r="M22" s="3">
        <v>7.9250175970079495E-2</v>
      </c>
      <c r="N22" s="3">
        <v>8.1559154244765036E-2</v>
      </c>
      <c r="O22" s="3">
        <v>8.2592557955679491E-2</v>
      </c>
      <c r="P22" s="3">
        <v>8.362013077392251E-2</v>
      </c>
      <c r="Q22" s="3">
        <v>8.362013077392251E-2</v>
      </c>
      <c r="R22" s="3">
        <v>8.362013077392251E-2</v>
      </c>
      <c r="S22" s="3">
        <v>8.362013077392251E-2</v>
      </c>
      <c r="T22" s="3">
        <v>8.362013077392251E-2</v>
      </c>
      <c r="U22" s="3">
        <v>8.362013077392251E-2</v>
      </c>
      <c r="V22" s="3">
        <v>8.362013077392251E-2</v>
      </c>
      <c r="W22" s="3">
        <v>0</v>
      </c>
      <c r="X22" s="3">
        <v>0</v>
      </c>
      <c r="Y22" s="3">
        <v>0.91001191616454302</v>
      </c>
      <c r="Z22" s="3">
        <v>0.91529056351972382</v>
      </c>
      <c r="AA22" s="3">
        <v>0</v>
      </c>
      <c r="AB22" s="3">
        <v>0</v>
      </c>
      <c r="AC22" s="3">
        <v>0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48" ht="15" thickTop="1" thickBot="1" x14ac:dyDescent="0.6">
      <c r="A23" s="4">
        <f>A22</f>
        <v>84.007000000000005</v>
      </c>
      <c r="B23" s="1" t="s">
        <v>7</v>
      </c>
      <c r="C23" s="2"/>
      <c r="D23" s="3">
        <v>6.0000000000000001E-3</v>
      </c>
      <c r="E23" s="3">
        <v>6.0000000000000001E-3</v>
      </c>
      <c r="F23" s="3">
        <v>6.0000000000000001E-3</v>
      </c>
      <c r="G23" s="3">
        <v>6.0000000000000001E-3</v>
      </c>
      <c r="H23" s="3">
        <v>6.0000000000000001E-3</v>
      </c>
      <c r="I23" s="3">
        <v>0</v>
      </c>
      <c r="J23" s="3">
        <v>1.142126333441292E-2</v>
      </c>
      <c r="K23" s="3">
        <v>1.142126333441292E-2</v>
      </c>
      <c r="L23" s="3">
        <v>5.7002920886538667E-2</v>
      </c>
      <c r="M23" s="3">
        <v>0.10167278885813832</v>
      </c>
      <c r="N23" s="3">
        <v>0.1016687871726982</v>
      </c>
      <c r="O23" s="3">
        <v>0.10167984956613174</v>
      </c>
      <c r="P23" s="3">
        <v>0.10167278885813832</v>
      </c>
      <c r="Q23" s="3">
        <v>0.10167278885813832</v>
      </c>
      <c r="R23" s="3">
        <v>0.10167278885813832</v>
      </c>
      <c r="S23" s="3">
        <v>0.10167278885813832</v>
      </c>
      <c r="T23" s="3">
        <v>0.10167278885813832</v>
      </c>
      <c r="U23" s="3">
        <v>0.10167278885813832</v>
      </c>
      <c r="V23" s="3">
        <v>0.10167278885813832</v>
      </c>
      <c r="W23" s="3">
        <v>1.9699972348216327E-2</v>
      </c>
      <c r="X23" s="3">
        <v>1.969997234821633E-2</v>
      </c>
      <c r="Y23" s="3">
        <v>0.91178467892777049</v>
      </c>
      <c r="Z23" s="3">
        <v>0.99665798955020379</v>
      </c>
      <c r="AA23" s="3">
        <v>0</v>
      </c>
      <c r="AB23" s="3">
        <v>1.9699972348216327E-2</v>
      </c>
      <c r="AC23" s="3"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48" ht="15" thickTop="1" thickBot="1" x14ac:dyDescent="0.6">
      <c r="A24" s="4">
        <v>58.45</v>
      </c>
      <c r="B24" s="1" t="s">
        <v>6</v>
      </c>
      <c r="C24" s="2"/>
      <c r="D24" s="3">
        <v>0.19</v>
      </c>
      <c r="E24" s="3">
        <v>0.19</v>
      </c>
      <c r="F24" s="3">
        <v>0.19</v>
      </c>
      <c r="G24" s="3">
        <v>0.19</v>
      </c>
      <c r="H24" s="3">
        <v>0.19</v>
      </c>
      <c r="I24" s="3">
        <v>0</v>
      </c>
      <c r="J24" s="3">
        <v>0.18934777748389167</v>
      </c>
      <c r="K24" s="3">
        <v>0.18934777748389167</v>
      </c>
      <c r="L24" s="3">
        <v>0.18713461031486395</v>
      </c>
      <c r="M24" s="3">
        <v>0.18523028037961645</v>
      </c>
      <c r="N24" s="3">
        <v>0.18523110550581418</v>
      </c>
      <c r="O24" s="3">
        <v>0.18522882449928121</v>
      </c>
      <c r="P24" s="3">
        <v>0.18523028037961645</v>
      </c>
      <c r="Q24" s="3">
        <v>0.18523028037961645</v>
      </c>
      <c r="R24" s="3">
        <v>0.18523028037961645</v>
      </c>
      <c r="S24" s="3">
        <v>0.18523028037961645</v>
      </c>
      <c r="T24" s="3">
        <v>0.18523028037961645</v>
      </c>
      <c r="U24" s="3">
        <v>0.18523028037961645</v>
      </c>
      <c r="V24" s="3">
        <v>0.18523028037961645</v>
      </c>
      <c r="W24" s="3">
        <v>0.20213263800311485</v>
      </c>
      <c r="X24" s="3">
        <v>0.20213263800311485</v>
      </c>
      <c r="Y24" s="3">
        <v>1.8189528774506285E-2</v>
      </c>
      <c r="Z24" s="3">
        <v>6.8910473262913591E-4</v>
      </c>
      <c r="AA24" s="3">
        <v>0</v>
      </c>
      <c r="AB24" s="3">
        <v>0.20213263800311482</v>
      </c>
      <c r="AC24" s="3"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1:48" ht="15" thickTop="1" thickBot="1" x14ac:dyDescent="0.6">
      <c r="A25" s="4">
        <v>142.04</v>
      </c>
      <c r="B25" s="1" t="s">
        <v>5</v>
      </c>
      <c r="C25" s="2"/>
      <c r="D25" s="3">
        <v>0.04</v>
      </c>
      <c r="E25" s="3">
        <v>0.04</v>
      </c>
      <c r="F25" s="3">
        <v>0.04</v>
      </c>
      <c r="G25" s="3">
        <v>0.04</v>
      </c>
      <c r="H25" s="3">
        <v>0.04</v>
      </c>
      <c r="I25" s="3">
        <v>0</v>
      </c>
      <c r="J25" s="3">
        <v>3.9862689996608774E-2</v>
      </c>
      <c r="K25" s="3">
        <v>3.9862689996608774E-2</v>
      </c>
      <c r="L25" s="3">
        <v>3.9396760066287145E-2</v>
      </c>
      <c r="M25" s="3">
        <v>3.8995848500971882E-2</v>
      </c>
      <c r="N25" s="3">
        <v>3.8996022211750352E-2</v>
      </c>
      <c r="O25" s="3">
        <v>3.8995541999848678E-2</v>
      </c>
      <c r="P25" s="3">
        <v>3.8995848500971882E-2</v>
      </c>
      <c r="Q25" s="3">
        <v>3.8995848500971882E-2</v>
      </c>
      <c r="R25" s="3">
        <v>3.8995848500971882E-2</v>
      </c>
      <c r="S25" s="3">
        <v>3.8995848500971882E-2</v>
      </c>
      <c r="T25" s="3">
        <v>3.8995848500971882E-2</v>
      </c>
      <c r="U25" s="3">
        <v>3.8995848500971882E-2</v>
      </c>
      <c r="V25" s="3">
        <v>3.8995848500971882E-2</v>
      </c>
      <c r="W25" s="3">
        <v>4.2554239579603123E-2</v>
      </c>
      <c r="X25" s="3">
        <v>4.255423957960313E-2</v>
      </c>
      <c r="Y25" s="3">
        <v>3.8293744788434388E-3</v>
      </c>
      <c r="Z25" s="3">
        <v>1.4507468055350228E-4</v>
      </c>
      <c r="AA25" s="3">
        <v>0</v>
      </c>
      <c r="AB25" s="3">
        <v>4.2554239579603116E-2</v>
      </c>
      <c r="AC25" s="3">
        <v>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1:48" ht="15" thickTop="1" thickBot="1" x14ac:dyDescent="0.6">
      <c r="A26" s="4">
        <v>18.02</v>
      </c>
      <c r="B26" s="1" t="s">
        <v>4</v>
      </c>
      <c r="C26" s="2"/>
      <c r="D26" s="3">
        <v>0.70200000000000007</v>
      </c>
      <c r="E26" s="3">
        <v>0.70200000000000007</v>
      </c>
      <c r="F26" s="3">
        <v>0.70200000000000007</v>
      </c>
      <c r="G26" s="3">
        <v>0.70200000000000007</v>
      </c>
      <c r="H26" s="3">
        <v>0.70200000000000007</v>
      </c>
      <c r="I26" s="3">
        <v>0</v>
      </c>
      <c r="J26" s="3">
        <v>0.69900655382711085</v>
      </c>
      <c r="K26" s="3">
        <v>0.69900655382711085</v>
      </c>
      <c r="L26" s="3">
        <v>0.68593321968093768</v>
      </c>
      <c r="M26" s="3">
        <v>0.67410108226127341</v>
      </c>
      <c r="N26" s="3">
        <v>0.67410408510973729</v>
      </c>
      <c r="O26" s="3">
        <v>0.67409578393473835</v>
      </c>
      <c r="P26" s="3">
        <v>0.67410108226127341</v>
      </c>
      <c r="Q26" s="3">
        <v>0.67410108226127341</v>
      </c>
      <c r="R26" s="3">
        <v>0.67410108226127341</v>
      </c>
      <c r="S26" s="3">
        <v>0.67410108226127341</v>
      </c>
      <c r="T26" s="3">
        <v>0.67410108226127341</v>
      </c>
      <c r="U26" s="3">
        <v>0.67410108226127341</v>
      </c>
      <c r="V26" s="3">
        <v>0.67410108226127341</v>
      </c>
      <c r="W26" s="3">
        <v>0.73561315006906569</v>
      </c>
      <c r="X26" s="3">
        <v>0.73561315006906569</v>
      </c>
      <c r="Y26" s="3">
        <v>6.6196417818879777E-2</v>
      </c>
      <c r="Z26" s="3">
        <v>2.5078310366137332E-3</v>
      </c>
      <c r="AA26" s="3">
        <v>0</v>
      </c>
      <c r="AB26" s="3">
        <v>0.73561315006906569</v>
      </c>
      <c r="AC26" s="3"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1:48" ht="15" thickTop="1" thickBot="1" x14ac:dyDescent="0.6">
      <c r="A27" s="4">
        <v>44.01</v>
      </c>
      <c r="B27" s="1" t="s">
        <v>3</v>
      </c>
      <c r="C27" s="2"/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C27" s="3">
        <v>1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1:48" ht="15" thickTop="1" thickBot="1" x14ac:dyDescent="0.6">
      <c r="A28" s="4">
        <v>124.01</v>
      </c>
      <c r="B28" s="1" t="s">
        <v>13</v>
      </c>
      <c r="C28" s="2"/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1:48" ht="15" thickTop="1" thickBot="1" x14ac:dyDescent="0.6">
      <c r="A29" s="4">
        <v>28</v>
      </c>
      <c r="B29" s="1" t="s">
        <v>1</v>
      </c>
      <c r="C29" s="2"/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1:48" ht="15" thickTop="1" thickBot="1" x14ac:dyDescent="0.6">
      <c r="A30" s="4">
        <v>32</v>
      </c>
      <c r="B30" s="4" t="s">
        <v>0</v>
      </c>
      <c r="C30" s="2"/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1:48" ht="14.7" thickTop="1" x14ac:dyDescent="0.55000000000000004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ht="14.7" thickBot="1" x14ac:dyDescent="0.6">
      <c r="A32" s="1" t="s">
        <v>12</v>
      </c>
      <c r="B32" s="1" t="s">
        <v>11</v>
      </c>
      <c r="C32" s="2"/>
      <c r="D32" s="5" t="s">
        <v>11</v>
      </c>
      <c r="E32" s="5" t="s">
        <v>11</v>
      </c>
      <c r="F32" s="5" t="s">
        <v>11</v>
      </c>
      <c r="G32" s="5" t="s">
        <v>11</v>
      </c>
      <c r="H32" s="5" t="s">
        <v>11</v>
      </c>
      <c r="I32" s="5" t="s">
        <v>11</v>
      </c>
      <c r="J32" s="5" t="s">
        <v>11</v>
      </c>
      <c r="K32" s="5" t="s">
        <v>11</v>
      </c>
      <c r="L32" s="5" t="s">
        <v>11</v>
      </c>
      <c r="M32" s="5" t="s">
        <v>11</v>
      </c>
      <c r="N32" s="5" t="s">
        <v>11</v>
      </c>
      <c r="O32" s="5" t="s">
        <v>11</v>
      </c>
      <c r="P32" s="5" t="s">
        <v>11</v>
      </c>
      <c r="Q32" s="5" t="s">
        <v>11</v>
      </c>
      <c r="R32" s="5" t="s">
        <v>11</v>
      </c>
      <c r="S32" s="5" t="s">
        <v>11</v>
      </c>
      <c r="T32" s="5" t="s">
        <v>11</v>
      </c>
      <c r="U32" s="5" t="s">
        <v>11</v>
      </c>
      <c r="V32" s="5" t="s">
        <v>11</v>
      </c>
      <c r="W32" s="5" t="s">
        <v>11</v>
      </c>
      <c r="X32" s="5" t="s">
        <v>11</v>
      </c>
      <c r="Y32" s="5" t="s">
        <v>11</v>
      </c>
      <c r="Z32" s="5" t="s">
        <v>11</v>
      </c>
      <c r="AA32" s="5" t="s">
        <v>11</v>
      </c>
      <c r="AB32" s="5" t="s">
        <v>11</v>
      </c>
      <c r="AC32" s="5" t="s">
        <v>11</v>
      </c>
      <c r="AD32" s="5" t="s">
        <v>11</v>
      </c>
      <c r="AE32" s="5" t="s">
        <v>11</v>
      </c>
      <c r="AF32" s="5" t="s">
        <v>11</v>
      </c>
      <c r="AG32" s="5" t="s">
        <v>11</v>
      </c>
      <c r="AH32" s="5" t="s">
        <v>11</v>
      </c>
      <c r="AI32" s="5" t="s">
        <v>11</v>
      </c>
      <c r="AJ32" s="5" t="s">
        <v>11</v>
      </c>
      <c r="AK32" s="5" t="s">
        <v>11</v>
      </c>
      <c r="AL32" s="5" t="s">
        <v>11</v>
      </c>
      <c r="AM32" s="5" t="s">
        <v>11</v>
      </c>
      <c r="AN32" s="5" t="s">
        <v>11</v>
      </c>
      <c r="AO32" s="5" t="s">
        <v>11</v>
      </c>
      <c r="AP32" s="5" t="s">
        <v>11</v>
      </c>
      <c r="AQ32" s="5" t="s">
        <v>11</v>
      </c>
      <c r="AR32" s="5" t="s">
        <v>11</v>
      </c>
      <c r="AS32" s="5" t="s">
        <v>11</v>
      </c>
      <c r="AT32" s="5" t="s">
        <v>11</v>
      </c>
      <c r="AU32" s="5" t="s">
        <v>11</v>
      </c>
      <c r="AV32" s="5" t="s">
        <v>11</v>
      </c>
    </row>
    <row r="33" spans="1:48" ht="15" thickTop="1" thickBot="1" x14ac:dyDescent="0.6">
      <c r="A33" s="1">
        <v>105.98</v>
      </c>
      <c r="B33" s="1" t="s">
        <v>10</v>
      </c>
      <c r="C33" s="2"/>
      <c r="D33" s="3">
        <v>0.46313769893690626</v>
      </c>
      <c r="E33" s="3">
        <v>0.46313769893690626</v>
      </c>
      <c r="F33" s="3">
        <v>0.46313769893690626</v>
      </c>
      <c r="G33" s="3">
        <v>0.46313769893690626</v>
      </c>
      <c r="H33" s="3">
        <v>0.46313769893690626</v>
      </c>
      <c r="I33" s="3">
        <v>0</v>
      </c>
      <c r="J33" s="3">
        <v>0.45245293130244002</v>
      </c>
      <c r="K33" s="3">
        <v>0.45245293130244002</v>
      </c>
      <c r="L33" s="3">
        <v>0.23156884946845313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0.40415629449694246</v>
      </c>
      <c r="AK33" s="3"/>
      <c r="AL33" s="3">
        <v>0.40415629449694246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ht="15" thickTop="1" thickBot="1" x14ac:dyDescent="0.6">
      <c r="A34" s="1">
        <v>84.007000000000005</v>
      </c>
      <c r="B34" s="1" t="s">
        <v>9</v>
      </c>
      <c r="C34" s="2"/>
      <c r="D34" s="3">
        <v>5.6542907138690819E-2</v>
      </c>
      <c r="E34" s="3">
        <v>5.6542907138690819E-2</v>
      </c>
      <c r="F34" s="3">
        <v>5.6542907138690819E-2</v>
      </c>
      <c r="G34" s="3">
        <v>5.6542907138690819E-2</v>
      </c>
      <c r="H34" s="3">
        <v>5.6542907138690819E-2</v>
      </c>
      <c r="I34" s="3">
        <v>0</v>
      </c>
      <c r="J34" s="3">
        <v>0.10800265146501373</v>
      </c>
      <c r="K34" s="3">
        <v>0.10800265146501373</v>
      </c>
      <c r="L34" s="3">
        <v>0.2167676503148547</v>
      </c>
      <c r="M34" s="3">
        <v>0.21674781069831481</v>
      </c>
      <c r="N34" s="3">
        <v>0.19438856285785705</v>
      </c>
      <c r="O34" s="3">
        <v>0.18450843382099111</v>
      </c>
      <c r="P34" s="3">
        <v>0.17450571601861861</v>
      </c>
      <c r="Q34" s="3">
        <v>0.17450571601861861</v>
      </c>
      <c r="R34" s="3">
        <v>0.17450571601861861</v>
      </c>
      <c r="S34" s="3">
        <v>0.17450571601861861</v>
      </c>
      <c r="T34" s="3">
        <v>0.17450571601861861</v>
      </c>
      <c r="U34" s="3">
        <v>0.17450571601861861</v>
      </c>
      <c r="V34" s="3">
        <v>0.17450571601861861</v>
      </c>
      <c r="W34" s="3">
        <v>0.17293107019985196</v>
      </c>
      <c r="X34" s="3">
        <v>0.17431563667689082</v>
      </c>
      <c r="Y34" s="3">
        <v>1.5746458187666657E-3</v>
      </c>
      <c r="Z34" s="3">
        <v>7.1857306756826791E-2</v>
      </c>
      <c r="AA34" s="3">
        <v>0</v>
      </c>
      <c r="AB34" s="3">
        <v>1.3845664770388484E-3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1:48" ht="15" thickTop="1" thickBot="1" x14ac:dyDescent="0.6">
      <c r="A35" s="1">
        <f>A34</f>
        <v>84.007000000000005</v>
      </c>
      <c r="B35" s="1" t="s">
        <v>8</v>
      </c>
      <c r="C35" s="2"/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0.32864282792390387</v>
      </c>
      <c r="M35" s="3">
        <v>0.76607049431418861</v>
      </c>
      <c r="N35" s="3">
        <v>0.78838668206220908</v>
      </c>
      <c r="O35" s="3">
        <v>0.79838584879831431</v>
      </c>
      <c r="P35" s="3">
        <v>0.80831258899388481</v>
      </c>
      <c r="Q35" s="3">
        <v>0.80831258899388481</v>
      </c>
      <c r="R35" s="3">
        <v>0.80831258899388481</v>
      </c>
      <c r="S35" s="3">
        <v>0.80831258899388481</v>
      </c>
      <c r="T35" s="3">
        <v>0.80831258899388481</v>
      </c>
      <c r="U35" s="3">
        <v>0.80831258899388481</v>
      </c>
      <c r="V35" s="3">
        <v>0.80831258899388481</v>
      </c>
      <c r="W35" s="3">
        <v>0</v>
      </c>
      <c r="X35" s="3">
        <v>0</v>
      </c>
      <c r="Y35" s="3">
        <v>0.80831258899388481</v>
      </c>
      <c r="Z35" s="3">
        <v>0.80831258899388481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1:48" ht="15" thickTop="1" thickBot="1" x14ac:dyDescent="0.6">
      <c r="A36" s="4">
        <f>A35</f>
        <v>84.007000000000005</v>
      </c>
      <c r="B36" s="1" t="s">
        <v>7</v>
      </c>
      <c r="C36" s="2"/>
      <c r="D36" s="3">
        <v>5.6542907138690819E-2</v>
      </c>
      <c r="E36" s="3">
        <v>5.6542907138690819E-2</v>
      </c>
      <c r="F36" s="3">
        <v>5.6542907138690819E-2</v>
      </c>
      <c r="G36" s="3">
        <v>5.6542907138690819E-2</v>
      </c>
      <c r="H36" s="3">
        <v>5.6542907138690819E-2</v>
      </c>
      <c r="I36" s="3">
        <v>0</v>
      </c>
      <c r="J36" s="3">
        <v>0.10800265146501373</v>
      </c>
      <c r="K36" s="3">
        <v>0.10800265146501373</v>
      </c>
      <c r="L36" s="3">
        <v>0.54541047823875854</v>
      </c>
      <c r="M36" s="3">
        <v>0.98281830501250345</v>
      </c>
      <c r="N36" s="3">
        <v>0.98277524492006618</v>
      </c>
      <c r="O36" s="3">
        <v>0.98289428261930545</v>
      </c>
      <c r="P36" s="3">
        <v>0.98281830501250345</v>
      </c>
      <c r="Q36" s="3">
        <v>0.98281830501250345</v>
      </c>
      <c r="R36" s="3">
        <v>0.98281830501250345</v>
      </c>
      <c r="S36" s="3">
        <v>0.98281830501250345</v>
      </c>
      <c r="T36" s="3">
        <v>0.98281830501250345</v>
      </c>
      <c r="U36" s="3">
        <v>0.98281830501250345</v>
      </c>
      <c r="V36" s="3">
        <v>0.98281830501250345</v>
      </c>
      <c r="W36" s="3">
        <v>0.17293107019985196</v>
      </c>
      <c r="X36" s="3">
        <v>0.17431563667689082</v>
      </c>
      <c r="Y36" s="3">
        <v>0.80988723481265146</v>
      </c>
      <c r="Z36" s="3">
        <v>0.88016989575071147</v>
      </c>
      <c r="AA36" s="3">
        <v>0</v>
      </c>
      <c r="AB36" s="3">
        <v>1.3845664770388484E-3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1:48" ht="15" thickTop="1" thickBot="1" x14ac:dyDescent="0.6">
      <c r="A37" s="4">
        <v>58.45</v>
      </c>
      <c r="B37" s="1" t="s">
        <v>6</v>
      </c>
      <c r="C37" s="2"/>
      <c r="D37" s="3">
        <v>2.5734245794126029</v>
      </c>
      <c r="E37" s="3">
        <v>2.5734245794126029</v>
      </c>
      <c r="F37" s="3">
        <v>2.5734245794126029</v>
      </c>
      <c r="G37" s="3">
        <v>2.5734245794126029</v>
      </c>
      <c r="H37" s="3">
        <v>2.5734245794126029</v>
      </c>
      <c r="I37" s="3">
        <v>0</v>
      </c>
      <c r="J37" s="3">
        <v>2.5734245794126029</v>
      </c>
      <c r="K37" s="3">
        <v>2.5734245794126029</v>
      </c>
      <c r="L37" s="3">
        <v>2.5734245794126029</v>
      </c>
      <c r="M37" s="3">
        <v>2.5734245794126029</v>
      </c>
      <c r="N37" s="3">
        <v>2.5734245794126029</v>
      </c>
      <c r="O37" s="3">
        <v>2.5734245794126029</v>
      </c>
      <c r="P37" s="3">
        <v>2.5734245794126029</v>
      </c>
      <c r="Q37" s="3">
        <v>2.5734245794126029</v>
      </c>
      <c r="R37" s="3">
        <v>2.5734245794126029</v>
      </c>
      <c r="S37" s="3">
        <v>2.5734245794126029</v>
      </c>
      <c r="T37" s="3">
        <v>2.5734245794126029</v>
      </c>
      <c r="U37" s="3">
        <v>2.5734245794126029</v>
      </c>
      <c r="V37" s="3">
        <v>2.5734245794126029</v>
      </c>
      <c r="W37" s="3">
        <v>2.5502033787188041</v>
      </c>
      <c r="X37" s="3">
        <v>2.5706214915757051</v>
      </c>
      <c r="Y37" s="3">
        <v>2.3221200693799016E-2</v>
      </c>
      <c r="Z37" s="3">
        <v>8.74654531818206E-4</v>
      </c>
      <c r="AA37" s="3">
        <v>0</v>
      </c>
      <c r="AB37" s="3">
        <v>2.041811285690109E-2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1:48" ht="15" thickTop="1" thickBot="1" x14ac:dyDescent="0.6">
      <c r="A38" s="4">
        <v>142.04</v>
      </c>
      <c r="B38" s="1" t="s">
        <v>5</v>
      </c>
      <c r="C38" s="2"/>
      <c r="D38" s="3">
        <v>0.22294189430207453</v>
      </c>
      <c r="E38" s="3">
        <v>0.22294189430207453</v>
      </c>
      <c r="F38" s="3">
        <v>0.22294189430207453</v>
      </c>
      <c r="G38" s="3">
        <v>0.22294189430207453</v>
      </c>
      <c r="H38" s="3">
        <v>0.22294189430207453</v>
      </c>
      <c r="I38" s="3">
        <v>0</v>
      </c>
      <c r="J38" s="3">
        <v>0.22294189430207453</v>
      </c>
      <c r="K38" s="3">
        <v>0.22294189430207453</v>
      </c>
      <c r="L38" s="3">
        <v>0.22294189430207453</v>
      </c>
      <c r="M38" s="3">
        <v>0.22294189430207453</v>
      </c>
      <c r="N38" s="3">
        <v>0.22294189430207453</v>
      </c>
      <c r="O38" s="3">
        <v>0.22294189430207453</v>
      </c>
      <c r="P38" s="3">
        <v>0.22294189430207453</v>
      </c>
      <c r="Q38" s="3">
        <v>0.22294189430207453</v>
      </c>
      <c r="R38" s="3">
        <v>0.22294189430207453</v>
      </c>
      <c r="S38" s="3">
        <v>0.22294189430207453</v>
      </c>
      <c r="T38" s="3">
        <v>0.22294189430207453</v>
      </c>
      <c r="U38" s="3">
        <v>0.22294189430207453</v>
      </c>
      <c r="V38" s="3">
        <v>0.22294189430207453</v>
      </c>
      <c r="W38" s="3">
        <v>0.22093018643542087</v>
      </c>
      <c r="X38" s="3">
        <v>0.22269905613333527</v>
      </c>
      <c r="Y38" s="3">
        <v>2.0117078666536574E-3</v>
      </c>
      <c r="Z38" s="3">
        <v>7.5773403170010148E-5</v>
      </c>
      <c r="AA38" s="3">
        <v>0</v>
      </c>
      <c r="AB38" s="3">
        <v>1.7688696979144031E-3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1:48" ht="15" thickTop="1" thickBot="1" x14ac:dyDescent="0.6">
      <c r="A39" s="4">
        <v>18.02</v>
      </c>
      <c r="B39" s="1" t="s">
        <v>4</v>
      </c>
      <c r="C39" s="2"/>
      <c r="D39" s="3">
        <v>30.840732519422865</v>
      </c>
      <c r="E39" s="3">
        <v>30.840732519422865</v>
      </c>
      <c r="F39" s="3">
        <v>30.840732519422865</v>
      </c>
      <c r="G39" s="3">
        <v>30.840732519422865</v>
      </c>
      <c r="H39" s="3">
        <v>30.840732519422865</v>
      </c>
      <c r="I39" s="3">
        <v>0</v>
      </c>
      <c r="J39" s="3">
        <v>30.815002647259703</v>
      </c>
      <c r="K39" s="3">
        <v>30.815002647259703</v>
      </c>
      <c r="L39" s="3">
        <v>30.596298733872832</v>
      </c>
      <c r="M39" s="3">
        <v>30.377652784927211</v>
      </c>
      <c r="N39" s="3">
        <v>30.377652784927211</v>
      </c>
      <c r="O39" s="3">
        <v>30.377652784927211</v>
      </c>
      <c r="P39" s="3">
        <v>30.377652784927211</v>
      </c>
      <c r="Q39" s="3">
        <v>30.377652784927211</v>
      </c>
      <c r="R39" s="3">
        <v>30.377652784927211</v>
      </c>
      <c r="S39" s="3">
        <v>30.377652784927211</v>
      </c>
      <c r="T39" s="3">
        <v>30.377652784927211</v>
      </c>
      <c r="U39" s="3">
        <v>30.377652784927211</v>
      </c>
      <c r="V39" s="3">
        <v>30.377652784927211</v>
      </c>
      <c r="W39" s="3">
        <v>30.103541168224478</v>
      </c>
      <c r="X39" s="3">
        <v>30.344564102353743</v>
      </c>
      <c r="Y39" s="3">
        <v>0.27411161670273398</v>
      </c>
      <c r="Z39" s="3">
        <f>Z12/18.02</f>
        <v>0.3623751387347392</v>
      </c>
      <c r="AA39" s="3">
        <v>0</v>
      </c>
      <c r="AB39" s="3">
        <v>0.24102293412926662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/>
      <c r="AK39" s="3"/>
      <c r="AL39" s="3"/>
      <c r="AM39" s="3"/>
      <c r="AN39" s="3"/>
      <c r="AO39" s="3">
        <v>0.49952343363195922</v>
      </c>
      <c r="AP39" s="3"/>
      <c r="AQ39" s="3"/>
      <c r="AR39" s="3"/>
      <c r="AS39" s="3"/>
      <c r="AT39" s="3"/>
      <c r="AU39" s="3"/>
      <c r="AV39" s="3"/>
    </row>
    <row r="40" spans="1:48" ht="15" thickTop="1" thickBot="1" x14ac:dyDescent="0.6">
      <c r="A40" s="4">
        <v>44.01</v>
      </c>
      <c r="B40" s="1" t="s">
        <v>3</v>
      </c>
      <c r="C40" s="2"/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5.1459744326322922E-2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0.40415629449694201</v>
      </c>
      <c r="AB40" s="3">
        <v>0</v>
      </c>
      <c r="AC40" s="3">
        <v>4.0415629449694242E-2</v>
      </c>
      <c r="AD40" s="3">
        <v>0.36374066504724817</v>
      </c>
      <c r="AE40" s="3">
        <v>0.36374066504724817</v>
      </c>
      <c r="AF40" s="3">
        <v>0.36374066504724817</v>
      </c>
      <c r="AG40" s="3">
        <v>0.15085677821598109</v>
      </c>
      <c r="AH40" s="3">
        <v>0.51459744326322931</v>
      </c>
      <c r="AI40" s="3">
        <v>0.25729872163161466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v>3.8604862531242901E-2</v>
      </c>
      <c r="AU40" s="3">
        <v>7.7187002953874123E-2</v>
      </c>
      <c r="AV40" s="3">
        <v>0</v>
      </c>
    </row>
    <row r="41" spans="1:48" ht="15" thickTop="1" thickBot="1" x14ac:dyDescent="0.6">
      <c r="A41" s="4">
        <v>124.01</v>
      </c>
      <c r="B41" s="1" t="s">
        <v>2</v>
      </c>
      <c r="C41" s="2"/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/>
      <c r="AK41" s="3"/>
      <c r="AL41" s="3"/>
      <c r="AM41" s="3">
        <v>0.40415629449694246</v>
      </c>
      <c r="AN41" s="3"/>
      <c r="AO41" s="3"/>
      <c r="AP41" s="3"/>
      <c r="AQ41" s="3"/>
      <c r="AR41" s="3"/>
      <c r="AS41" s="3"/>
      <c r="AT41" s="3"/>
      <c r="AU41" s="3"/>
      <c r="AV41" s="3"/>
    </row>
    <row r="42" spans="1:48" ht="15" thickTop="1" thickBot="1" x14ac:dyDescent="0.6">
      <c r="A42" s="4">
        <v>28</v>
      </c>
      <c r="B42" s="4" t="s">
        <v>1</v>
      </c>
      <c r="C42" s="2"/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 ht="15" thickTop="1" thickBot="1" x14ac:dyDescent="0.6">
      <c r="A43" s="4">
        <v>32</v>
      </c>
      <c r="B43" s="4" t="s">
        <v>0</v>
      </c>
      <c r="C43" s="2"/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1:48" ht="14.7" thickTop="1" x14ac:dyDescent="0.5500000000000000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55000000000000004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x14ac:dyDescent="0.55000000000000004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x14ac:dyDescent="0.55000000000000004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x14ac:dyDescent="0.55000000000000004">
      <c r="C48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122"/>
  <sheetViews>
    <sheetView topLeftCell="A68" workbookViewId="0">
      <selection activeCell="I97" sqref="I97"/>
    </sheetView>
  </sheetViews>
  <sheetFormatPr defaultRowHeight="14.4" x14ac:dyDescent="0.55000000000000004"/>
  <cols>
    <col min="1" max="1" width="12.20703125" customWidth="1"/>
    <col min="2" max="2" width="15.20703125" customWidth="1"/>
    <col min="3" max="3" width="10.89453125" bestFit="1" customWidth="1"/>
    <col min="4" max="4" width="13.89453125" bestFit="1" customWidth="1"/>
    <col min="6" max="6" width="10.5234375" customWidth="1"/>
    <col min="7" max="7" width="12.68359375" bestFit="1" customWidth="1"/>
    <col min="9" max="9" width="13.3125" bestFit="1" customWidth="1"/>
    <col min="11" max="11" width="12" bestFit="1" customWidth="1"/>
  </cols>
  <sheetData>
    <row r="2" spans="2:18" x14ac:dyDescent="0.55000000000000004">
      <c r="B2" t="s">
        <v>331</v>
      </c>
      <c r="C2" t="s">
        <v>332</v>
      </c>
      <c r="D2" t="s">
        <v>387</v>
      </c>
      <c r="E2" t="s">
        <v>129</v>
      </c>
      <c r="F2" t="s">
        <v>110</v>
      </c>
    </row>
    <row r="3" spans="2:18" x14ac:dyDescent="0.55000000000000004">
      <c r="B3" t="s">
        <v>333</v>
      </c>
      <c r="C3">
        <v>52.5</v>
      </c>
      <c r="D3">
        <f>C3/100</f>
        <v>0.52500000000000002</v>
      </c>
      <c r="E3">
        <f>D3/12</f>
        <v>4.3750000000000004E-2</v>
      </c>
      <c r="F3">
        <f>E3*1000</f>
        <v>43.750000000000007</v>
      </c>
    </row>
    <row r="4" spans="2:18" x14ac:dyDescent="0.55000000000000004">
      <c r="B4" t="s">
        <v>334</v>
      </c>
      <c r="C4">
        <v>4.8</v>
      </c>
      <c r="D4">
        <f t="shared" ref="D4:D8" si="0">C4/100</f>
        <v>4.8000000000000001E-2</v>
      </c>
      <c r="E4">
        <f>D4/2.016</f>
        <v>2.3809523809523808E-2</v>
      </c>
      <c r="F4">
        <f t="shared" ref="F4:F7" si="1">E4*1000</f>
        <v>23.809523809523807</v>
      </c>
    </row>
    <row r="5" spans="2:18" x14ac:dyDescent="0.55000000000000004">
      <c r="B5" t="s">
        <v>0</v>
      </c>
      <c r="C5">
        <v>18.3</v>
      </c>
      <c r="D5">
        <f t="shared" si="0"/>
        <v>0.183</v>
      </c>
      <c r="E5">
        <f>D5/32</f>
        <v>5.7187499999999999E-3</v>
      </c>
      <c r="F5">
        <f t="shared" si="1"/>
        <v>5.71875</v>
      </c>
    </row>
    <row r="6" spans="2:18" x14ac:dyDescent="0.55000000000000004">
      <c r="B6" t="s">
        <v>1</v>
      </c>
      <c r="C6">
        <v>1.2</v>
      </c>
      <c r="D6">
        <f t="shared" si="0"/>
        <v>1.2E-2</v>
      </c>
      <c r="E6">
        <f>D6/28</f>
        <v>4.285714285714286E-4</v>
      </c>
      <c r="F6">
        <f t="shared" si="1"/>
        <v>0.4285714285714286</v>
      </c>
    </row>
    <row r="7" spans="2:18" x14ac:dyDescent="0.55000000000000004">
      <c r="B7" t="s">
        <v>335</v>
      </c>
      <c r="C7">
        <v>0.6</v>
      </c>
      <c r="D7">
        <f t="shared" si="0"/>
        <v>6.0000000000000001E-3</v>
      </c>
      <c r="E7">
        <f>D7/32</f>
        <v>1.875E-4</v>
      </c>
      <c r="F7">
        <f t="shared" si="1"/>
        <v>0.1875</v>
      </c>
    </row>
    <row r="8" spans="2:18" x14ac:dyDescent="0.55000000000000004">
      <c r="B8" t="s">
        <v>336</v>
      </c>
      <c r="C8">
        <v>22.6</v>
      </c>
      <c r="D8">
        <f t="shared" si="0"/>
        <v>0.22600000000000001</v>
      </c>
    </row>
    <row r="10" spans="2:18" x14ac:dyDescent="0.55000000000000004">
      <c r="B10" t="s">
        <v>386</v>
      </c>
    </row>
    <row r="13" spans="2:18" x14ac:dyDescent="0.55000000000000004">
      <c r="B13" t="s">
        <v>337</v>
      </c>
      <c r="C13" t="s">
        <v>27</v>
      </c>
      <c r="D13">
        <v>33801</v>
      </c>
      <c r="E13" t="s">
        <v>28</v>
      </c>
      <c r="F13" t="s">
        <v>338</v>
      </c>
      <c r="G13" t="s">
        <v>29</v>
      </c>
      <c r="H13">
        <v>144158</v>
      </c>
      <c r="I13" t="s">
        <v>28</v>
      </c>
      <c r="J13" t="s">
        <v>339</v>
      </c>
      <c r="K13" t="s">
        <v>81</v>
      </c>
      <c r="L13">
        <f>144158*0.125</f>
        <v>18019.75</v>
      </c>
      <c r="M13" t="s">
        <v>28</v>
      </c>
      <c r="N13" t="s">
        <v>340</v>
      </c>
      <c r="O13" t="s">
        <v>29</v>
      </c>
      <c r="P13">
        <v>9413</v>
      </c>
      <c r="Q13" t="s">
        <v>28</v>
      </c>
      <c r="R13" t="s">
        <v>341</v>
      </c>
    </row>
    <row r="14" spans="2:18" x14ac:dyDescent="0.55000000000000004">
      <c r="C14" t="s">
        <v>27</v>
      </c>
      <c r="D14">
        <f>D13</f>
        <v>33801</v>
      </c>
      <c r="E14" t="s">
        <v>28</v>
      </c>
      <c r="F14">
        <f>D3</f>
        <v>0.52500000000000002</v>
      </c>
      <c r="G14" t="s">
        <v>29</v>
      </c>
      <c r="H14">
        <f>H13</f>
        <v>144158</v>
      </c>
      <c r="I14" t="s">
        <v>28</v>
      </c>
      <c r="J14">
        <f>D4</f>
        <v>4.8000000000000001E-2</v>
      </c>
      <c r="K14" t="str">
        <f t="shared" ref="K14" si="2">K13</f>
        <v>-</v>
      </c>
      <c r="L14">
        <f>L13</f>
        <v>18019.75</v>
      </c>
      <c r="M14" t="s">
        <v>28</v>
      </c>
      <c r="N14">
        <f>D5</f>
        <v>0.183</v>
      </c>
      <c r="O14" t="str">
        <f t="shared" ref="O14" si="3">O13</f>
        <v>+</v>
      </c>
      <c r="P14">
        <f>P13</f>
        <v>9413</v>
      </c>
      <c r="Q14" t="s">
        <v>28</v>
      </c>
      <c r="R14">
        <f>D7</f>
        <v>6.0000000000000001E-3</v>
      </c>
    </row>
    <row r="15" spans="2:18" x14ac:dyDescent="0.55000000000000004">
      <c r="C15" t="s">
        <v>27</v>
      </c>
      <c r="D15">
        <f>D14*F14+H14*J14-L14*N14+P14*R14</f>
        <v>21423.972750000001</v>
      </c>
      <c r="E15" t="s">
        <v>345</v>
      </c>
    </row>
    <row r="17" spans="1:12" x14ac:dyDescent="0.55000000000000004">
      <c r="B17" t="s">
        <v>342</v>
      </c>
    </row>
    <row r="19" spans="1:12" x14ac:dyDescent="0.55000000000000004">
      <c r="B19" t="s">
        <v>343</v>
      </c>
    </row>
    <row r="21" spans="1:12" x14ac:dyDescent="0.55000000000000004">
      <c r="B21" t="s">
        <v>344</v>
      </c>
    </row>
    <row r="24" spans="1:12" x14ac:dyDescent="0.55000000000000004">
      <c r="B24">
        <v>4.8000000000000001E-2</v>
      </c>
      <c r="C24" t="s">
        <v>348</v>
      </c>
      <c r="D24" t="s">
        <v>28</v>
      </c>
      <c r="E24" s="88">
        <v>18.02</v>
      </c>
      <c r="F24" s="88" t="s">
        <v>346</v>
      </c>
      <c r="G24" t="s">
        <v>27</v>
      </c>
      <c r="H24">
        <f>B24*E24/E25</f>
        <v>0.42904761904761901</v>
      </c>
      <c r="I24" t="s">
        <v>347</v>
      </c>
      <c r="J24" t="s">
        <v>27</v>
      </c>
      <c r="K24">
        <f>(H24*1000)/18.02</f>
        <v>23.80952380952381</v>
      </c>
      <c r="L24" t="s">
        <v>350</v>
      </c>
    </row>
    <row r="25" spans="1:12" x14ac:dyDescent="0.55000000000000004">
      <c r="E25">
        <f>1.008*2</f>
        <v>2.016</v>
      </c>
      <c r="F25" t="s">
        <v>349</v>
      </c>
    </row>
    <row r="26" spans="1:12" x14ac:dyDescent="0.55000000000000004">
      <c r="A26" t="s">
        <v>354</v>
      </c>
    </row>
    <row r="27" spans="1:12" x14ac:dyDescent="0.55000000000000004">
      <c r="B27" s="17" t="s">
        <v>355</v>
      </c>
      <c r="C27" t="s">
        <v>27</v>
      </c>
      <c r="D27" s="16">
        <f>40.656*((647.4-298)/(647.4-373))^0.38</f>
        <v>44.565767402424214</v>
      </c>
    </row>
    <row r="29" spans="1:12" x14ac:dyDescent="0.55000000000000004">
      <c r="A29" t="s">
        <v>211</v>
      </c>
      <c r="B29" t="s">
        <v>337</v>
      </c>
      <c r="C29" t="s">
        <v>27</v>
      </c>
      <c r="D29" t="s">
        <v>353</v>
      </c>
      <c r="E29" t="s">
        <v>29</v>
      </c>
      <c r="F29" t="s">
        <v>351</v>
      </c>
      <c r="G29" t="s">
        <v>28</v>
      </c>
      <c r="H29" s="17" t="s">
        <v>352</v>
      </c>
    </row>
    <row r="30" spans="1:12" x14ac:dyDescent="0.55000000000000004">
      <c r="B30" t="s">
        <v>353</v>
      </c>
      <c r="C30" t="s">
        <v>27</v>
      </c>
      <c r="D30">
        <f>D15-K24*D27</f>
        <v>20362.88304994228</v>
      </c>
      <c r="E30" t="s">
        <v>345</v>
      </c>
    </row>
    <row r="31" spans="1:12" x14ac:dyDescent="0.55000000000000004">
      <c r="C31" t="s">
        <v>27</v>
      </c>
      <c r="D31">
        <f>D30/4.184</f>
        <v>4866.8458532366822</v>
      </c>
      <c r="E31" t="s">
        <v>357</v>
      </c>
    </row>
    <row r="32" spans="1:12" x14ac:dyDescent="0.55000000000000004">
      <c r="A32" t="s">
        <v>392</v>
      </c>
    </row>
    <row r="33" spans="1:16" x14ac:dyDescent="0.55000000000000004">
      <c r="A33" t="s">
        <v>163</v>
      </c>
      <c r="B33" t="s">
        <v>206</v>
      </c>
      <c r="C33" t="s">
        <v>27</v>
      </c>
      <c r="D33" s="16">
        <f>'7'!D86+'7'!D148</f>
        <v>27552.602772651295</v>
      </c>
      <c r="E33" t="s">
        <v>155</v>
      </c>
    </row>
    <row r="35" spans="1:16" x14ac:dyDescent="0.55000000000000004">
      <c r="B35" s="73" t="s">
        <v>356</v>
      </c>
      <c r="C35" s="73" t="s">
        <v>27</v>
      </c>
      <c r="D35" s="142" t="s">
        <v>206</v>
      </c>
      <c r="E35" s="142"/>
      <c r="F35" s="142"/>
      <c r="G35" s="73" t="s">
        <v>27</v>
      </c>
      <c r="H35" s="143">
        <f>D33</f>
        <v>27552.602772651295</v>
      </c>
      <c r="I35" s="142"/>
      <c r="J35" s="142"/>
      <c r="K35" s="73" t="s">
        <v>27</v>
      </c>
      <c r="L35" s="106">
        <f>H35/(H36*J36)</f>
        <v>7.0766065958118221</v>
      </c>
      <c r="M35" s="73" t="s">
        <v>358</v>
      </c>
      <c r="N35" s="73" t="s">
        <v>27</v>
      </c>
      <c r="O35" s="73">
        <f>L35*3600</f>
        <v>25475.783744922559</v>
      </c>
      <c r="P35" s="117" t="s">
        <v>358</v>
      </c>
    </row>
    <row r="36" spans="1:16" x14ac:dyDescent="0.55000000000000004">
      <c r="B36" s="73"/>
      <c r="C36" s="73"/>
      <c r="D36" s="73">
        <v>0.8</v>
      </c>
      <c r="E36" s="73" t="s">
        <v>28</v>
      </c>
      <c r="F36" s="73" t="s">
        <v>353</v>
      </c>
      <c r="G36" s="73"/>
      <c r="H36" s="73">
        <v>0.8</v>
      </c>
      <c r="I36" s="73" t="s">
        <v>28</v>
      </c>
      <c r="J36" s="73">
        <f>D31</f>
        <v>4866.8458532366822</v>
      </c>
      <c r="K36" s="73"/>
      <c r="L36" s="73"/>
      <c r="M36" s="73" t="s">
        <v>57</v>
      </c>
      <c r="N36" s="73"/>
      <c r="O36" s="73"/>
      <c r="P36" s="73" t="s">
        <v>359</v>
      </c>
    </row>
    <row r="38" spans="1:16" x14ac:dyDescent="0.55000000000000004">
      <c r="B38" s="92">
        <f>O35</f>
        <v>25475.783744922559</v>
      </c>
      <c r="C38" s="117" t="s">
        <v>358</v>
      </c>
      <c r="D38" s="73" t="s">
        <v>28</v>
      </c>
      <c r="E38" s="117">
        <v>1</v>
      </c>
      <c r="F38" s="117" t="s">
        <v>360</v>
      </c>
      <c r="G38" s="73" t="s">
        <v>28</v>
      </c>
      <c r="H38" s="117">
        <v>24</v>
      </c>
      <c r="I38" s="117" t="s">
        <v>359</v>
      </c>
      <c r="J38" s="73" t="s">
        <v>28</v>
      </c>
      <c r="K38" s="117">
        <v>365</v>
      </c>
      <c r="L38" s="117" t="s">
        <v>362</v>
      </c>
      <c r="M38" s="73" t="s">
        <v>27</v>
      </c>
      <c r="N38" s="73">
        <f>B38*E38/E39*H38/H39*K38/K39</f>
        <v>223167.86560552163</v>
      </c>
      <c r="O38" s="117" t="s">
        <v>360</v>
      </c>
    </row>
    <row r="39" spans="1:16" x14ac:dyDescent="0.55000000000000004">
      <c r="B39" s="73"/>
      <c r="C39" s="73" t="s">
        <v>359</v>
      </c>
      <c r="D39" s="73"/>
      <c r="E39" s="73">
        <v>1000</v>
      </c>
      <c r="F39" s="73" t="s">
        <v>60</v>
      </c>
      <c r="G39" s="73"/>
      <c r="H39" s="73">
        <v>1</v>
      </c>
      <c r="I39" s="73" t="s">
        <v>361</v>
      </c>
      <c r="J39" s="73"/>
      <c r="K39" s="73">
        <v>1</v>
      </c>
      <c r="L39" s="73" t="s">
        <v>363</v>
      </c>
      <c r="M39" s="73"/>
      <c r="N39" s="73"/>
      <c r="O39" s="73" t="s">
        <v>363</v>
      </c>
    </row>
    <row r="41" spans="1:16" x14ac:dyDescent="0.55000000000000004">
      <c r="B41" s="127" t="s">
        <v>366</v>
      </c>
      <c r="C41" s="127" t="s">
        <v>27</v>
      </c>
      <c r="D41" s="128">
        <v>459.35155851391312</v>
      </c>
      <c r="E41" s="127" t="s">
        <v>46</v>
      </c>
    </row>
    <row r="43" spans="1:16" ht="14.7" thickBot="1" x14ac:dyDescent="0.6"/>
    <row r="44" spans="1:16" x14ac:dyDescent="0.55000000000000004">
      <c r="B44" s="96" t="s">
        <v>309</v>
      </c>
      <c r="C44" s="97" t="s">
        <v>246</v>
      </c>
      <c r="D44" s="98" t="s">
        <v>364</v>
      </c>
      <c r="E44" s="97" t="s">
        <v>247</v>
      </c>
      <c r="F44" s="97" t="s">
        <v>248</v>
      </c>
      <c r="G44" s="97" t="s">
        <v>249</v>
      </c>
      <c r="H44" s="97" t="s">
        <v>250</v>
      </c>
      <c r="I44" s="97" t="s">
        <v>251</v>
      </c>
      <c r="J44" s="97" t="s">
        <v>252</v>
      </c>
      <c r="K44" s="97" t="s">
        <v>253</v>
      </c>
      <c r="L44" s="99" t="s">
        <v>254</v>
      </c>
    </row>
    <row r="45" spans="1:16" x14ac:dyDescent="0.55000000000000004">
      <c r="B45" s="100"/>
      <c r="C45" s="1">
        <v>25</v>
      </c>
      <c r="D45" s="2">
        <f>D41</f>
        <v>459.35155851391312</v>
      </c>
      <c r="E45" s="1">
        <v>36.11</v>
      </c>
      <c r="F45" s="1">
        <v>4.2329999999999997</v>
      </c>
      <c r="G45" s="1">
        <v>-2.887</v>
      </c>
      <c r="H45" s="1">
        <v>7.4640000000000004</v>
      </c>
      <c r="I45" s="1">
        <f>E45*10^-3</f>
        <v>3.6110000000000003E-2</v>
      </c>
      <c r="J45" s="1">
        <f>F45*10^-5</f>
        <v>4.2330000000000003E-5</v>
      </c>
      <c r="K45" s="1">
        <f>G45*10^-8</f>
        <v>-2.887E-8</v>
      </c>
      <c r="L45" s="101">
        <f>H45*10^-12</f>
        <v>7.4639999999999997E-12</v>
      </c>
    </row>
    <row r="46" spans="1:16" x14ac:dyDescent="0.55000000000000004">
      <c r="B46" s="100"/>
      <c r="C46" s="1" t="s">
        <v>255</v>
      </c>
      <c r="D46" s="2" t="s">
        <v>27</v>
      </c>
      <c r="E46" s="7">
        <f>(I45*D45+((J45*D45^2)/2)+((K45*D45^3)/3)+((L45*D45^4)/4))-(I45*C45+((J45*C45^2)/2)+((K45*C45^3)/3)+((L45*C45^4)/4))</f>
        <v>19.287590990466224</v>
      </c>
      <c r="F46" s="1" t="s">
        <v>256</v>
      </c>
      <c r="G46" s="1"/>
      <c r="H46" s="1"/>
      <c r="I46" s="1"/>
      <c r="J46" s="1"/>
      <c r="K46" s="1"/>
      <c r="L46" s="101"/>
    </row>
    <row r="47" spans="1:16" x14ac:dyDescent="0.55000000000000004">
      <c r="B47" s="100"/>
      <c r="C47" s="1"/>
      <c r="D47" s="2" t="s">
        <v>27</v>
      </c>
      <c r="E47" s="1">
        <f>E46/4.184</f>
        <v>4.6098448829986198</v>
      </c>
      <c r="F47" s="1" t="s">
        <v>108</v>
      </c>
      <c r="G47" s="1"/>
      <c r="H47" s="1"/>
      <c r="I47" s="1"/>
      <c r="J47" s="1"/>
      <c r="K47" s="1"/>
      <c r="L47" s="101"/>
    </row>
    <row r="48" spans="1:16" x14ac:dyDescent="0.55000000000000004">
      <c r="B48" s="100"/>
      <c r="C48" s="1"/>
      <c r="D48" s="1"/>
      <c r="E48" s="1"/>
      <c r="F48" s="1"/>
      <c r="G48" s="1"/>
      <c r="H48" s="1"/>
      <c r="I48" s="1"/>
      <c r="J48" s="1"/>
      <c r="K48" s="1"/>
      <c r="L48" s="101"/>
    </row>
    <row r="49" spans="2:12" x14ac:dyDescent="0.55000000000000004">
      <c r="B49" s="100" t="s">
        <v>385</v>
      </c>
      <c r="C49" s="1" t="s">
        <v>246</v>
      </c>
      <c r="D49" s="2" t="s">
        <v>364</v>
      </c>
      <c r="E49" s="1" t="s">
        <v>247</v>
      </c>
      <c r="F49" s="1" t="s">
        <v>248</v>
      </c>
      <c r="G49" s="1" t="s">
        <v>249</v>
      </c>
      <c r="H49" s="1" t="s">
        <v>250</v>
      </c>
      <c r="I49" s="1" t="s">
        <v>251</v>
      </c>
      <c r="J49" s="1" t="s">
        <v>252</v>
      </c>
      <c r="K49" s="1" t="s">
        <v>253</v>
      </c>
      <c r="L49" s="101" t="s">
        <v>254</v>
      </c>
    </row>
    <row r="50" spans="2:12" x14ac:dyDescent="0.55000000000000004">
      <c r="B50" s="100"/>
      <c r="C50" s="1">
        <v>25</v>
      </c>
      <c r="D50" s="2">
        <f>D41</f>
        <v>459.35155851391312</v>
      </c>
      <c r="E50" s="1">
        <v>33.46</v>
      </c>
      <c r="F50" s="1">
        <v>0.68799999999999994</v>
      </c>
      <c r="G50" s="1">
        <v>0.76039999999999996</v>
      </c>
      <c r="H50" s="1">
        <v>-3.593</v>
      </c>
      <c r="I50" s="1">
        <f>E50*10^-3</f>
        <v>3.3460000000000004E-2</v>
      </c>
      <c r="J50" s="1">
        <f>F50*10^-5</f>
        <v>6.8800000000000002E-6</v>
      </c>
      <c r="K50" s="1">
        <f>G50*10^-8</f>
        <v>7.6039999999999998E-9</v>
      </c>
      <c r="L50" s="101">
        <f>H50*10^-12</f>
        <v>-3.5929999999999997E-12</v>
      </c>
    </row>
    <row r="51" spans="2:12" x14ac:dyDescent="0.55000000000000004">
      <c r="B51" s="100"/>
      <c r="C51" s="1" t="s">
        <v>261</v>
      </c>
      <c r="D51" s="2" t="s">
        <v>27</v>
      </c>
      <c r="E51" s="7">
        <f>(I50*D50+((J50*D50^2)/2)+((K50*D50^3)/3)+((L50*D50^4)/4))-(I50*C50+((J50*C50^2)/2)+((K50*C50^3)/3)+((L50*C50^4)/4))</f>
        <v>15.462747142361206</v>
      </c>
      <c r="F51" s="1" t="s">
        <v>256</v>
      </c>
      <c r="G51" s="1"/>
      <c r="H51" s="1"/>
      <c r="I51" s="1"/>
      <c r="J51" s="1"/>
      <c r="K51" s="1"/>
      <c r="L51" s="101"/>
    </row>
    <row r="52" spans="2:12" x14ac:dyDescent="0.55000000000000004">
      <c r="B52" s="100"/>
      <c r="C52" s="1"/>
      <c r="D52" s="2" t="s">
        <v>27</v>
      </c>
      <c r="E52" s="1">
        <f>E51/4.184</f>
        <v>3.6956852634706512</v>
      </c>
      <c r="F52" s="1" t="s">
        <v>108</v>
      </c>
      <c r="G52" s="1"/>
      <c r="H52" s="1"/>
      <c r="I52" s="1"/>
      <c r="J52" s="1"/>
      <c r="K52" s="1"/>
      <c r="L52" s="101"/>
    </row>
    <row r="53" spans="2:12" x14ac:dyDescent="0.55000000000000004">
      <c r="B53" s="100"/>
      <c r="C53" s="1"/>
      <c r="D53" s="1"/>
      <c r="E53" s="1"/>
      <c r="F53" s="1"/>
      <c r="G53" s="1"/>
      <c r="H53" s="1"/>
      <c r="I53" s="1"/>
      <c r="J53" s="1"/>
      <c r="K53" s="1"/>
      <c r="L53" s="101"/>
    </row>
    <row r="54" spans="2:12" x14ac:dyDescent="0.55000000000000004">
      <c r="B54" s="100" t="s">
        <v>367</v>
      </c>
      <c r="C54" s="1" t="s">
        <v>246</v>
      </c>
      <c r="D54" s="2" t="s">
        <v>364</v>
      </c>
      <c r="E54" s="1" t="s">
        <v>247</v>
      </c>
      <c r="F54" s="1" t="s">
        <v>248</v>
      </c>
      <c r="G54" s="1" t="s">
        <v>249</v>
      </c>
      <c r="H54" s="1" t="s">
        <v>250</v>
      </c>
      <c r="I54" s="1" t="s">
        <v>251</v>
      </c>
      <c r="J54" s="1" t="s">
        <v>252</v>
      </c>
      <c r="K54" s="1" t="s">
        <v>253</v>
      </c>
      <c r="L54" s="101" t="s">
        <v>254</v>
      </c>
    </row>
    <row r="55" spans="2:12" x14ac:dyDescent="0.55000000000000004">
      <c r="B55" s="100"/>
      <c r="C55" s="1">
        <v>25</v>
      </c>
      <c r="D55" s="2">
        <f>D41</f>
        <v>459.35155851391312</v>
      </c>
      <c r="E55" s="1">
        <v>38.909999999999997</v>
      </c>
      <c r="F55" s="1">
        <v>3.9039999999999999</v>
      </c>
      <c r="G55" s="1">
        <v>-3.1040000000000001</v>
      </c>
      <c r="H55" s="1">
        <v>8.6059999999999999</v>
      </c>
      <c r="I55" s="1">
        <f>E55*10^-3</f>
        <v>3.891E-2</v>
      </c>
      <c r="J55" s="1">
        <f>F55*10^-5</f>
        <v>3.9040000000000006E-5</v>
      </c>
      <c r="K55" s="1">
        <f>G55*10^-8</f>
        <v>-3.1039999999999999E-8</v>
      </c>
      <c r="L55" s="101">
        <f>H55*10^-12</f>
        <v>8.6059999999999995E-12</v>
      </c>
    </row>
    <row r="56" spans="2:12" x14ac:dyDescent="0.55000000000000004">
      <c r="B56" s="100"/>
      <c r="C56" s="1" t="s">
        <v>261</v>
      </c>
      <c r="D56" s="2" t="s">
        <v>27</v>
      </c>
      <c r="E56" s="7">
        <f>(I55*D55+((J55*D55^2)/2)+((K55*D55^3)/3)+((L55*D55^4)/4))-(I55*C55+((J55*C55^2)/2)+((K55*C55^3)/3)+((L55*C55^4)/4))</f>
        <v>20.100315492720199</v>
      </c>
      <c r="F56" s="1" t="s">
        <v>256</v>
      </c>
      <c r="G56" s="1"/>
      <c r="H56" s="1"/>
      <c r="I56" s="1"/>
      <c r="J56" s="1"/>
      <c r="K56" s="1"/>
      <c r="L56" s="101"/>
    </row>
    <row r="57" spans="2:12" x14ac:dyDescent="0.55000000000000004">
      <c r="B57" s="100"/>
      <c r="C57" s="1"/>
      <c r="D57" s="2" t="s">
        <v>27</v>
      </c>
      <c r="E57" s="1">
        <f>E56/4.184</f>
        <v>4.8040907009369498</v>
      </c>
      <c r="F57" s="1" t="s">
        <v>108</v>
      </c>
      <c r="G57" s="1"/>
      <c r="H57" s="1"/>
      <c r="I57" s="1"/>
      <c r="J57" s="1"/>
      <c r="K57" s="1"/>
      <c r="L57" s="101"/>
    </row>
    <row r="58" spans="2:12" x14ac:dyDescent="0.55000000000000004">
      <c r="B58" s="100"/>
      <c r="C58" s="1"/>
      <c r="D58" s="1"/>
      <c r="E58" s="1"/>
      <c r="F58" s="1"/>
      <c r="G58" s="1"/>
      <c r="H58" s="1"/>
      <c r="I58" s="1"/>
      <c r="J58" s="1"/>
      <c r="K58" s="1"/>
      <c r="L58" s="101"/>
    </row>
    <row r="59" spans="2:12" x14ac:dyDescent="0.55000000000000004">
      <c r="B59" s="100" t="s">
        <v>310</v>
      </c>
      <c r="C59" s="1" t="s">
        <v>246</v>
      </c>
      <c r="D59" s="2" t="s">
        <v>365</v>
      </c>
      <c r="E59" s="1" t="s">
        <v>247</v>
      </c>
      <c r="F59" s="1" t="s">
        <v>248</v>
      </c>
      <c r="G59" s="1" t="s">
        <v>249</v>
      </c>
      <c r="H59" s="1" t="s">
        <v>250</v>
      </c>
      <c r="I59" s="1" t="s">
        <v>251</v>
      </c>
      <c r="J59" s="1" t="s">
        <v>252</v>
      </c>
      <c r="K59" s="1" t="s">
        <v>253</v>
      </c>
      <c r="L59" s="101" t="s">
        <v>254</v>
      </c>
    </row>
    <row r="60" spans="2:12" x14ac:dyDescent="0.55000000000000004">
      <c r="B60" s="100"/>
      <c r="C60" s="1">
        <v>25</v>
      </c>
      <c r="D60" s="2">
        <f>D41</f>
        <v>459.35155851391312</v>
      </c>
      <c r="E60" s="1">
        <v>29.1</v>
      </c>
      <c r="F60" s="1">
        <v>1.1579999999999999</v>
      </c>
      <c r="G60" s="1">
        <v>-0.60760000000000003</v>
      </c>
      <c r="H60" s="1">
        <v>1.3109999999999999</v>
      </c>
      <c r="I60" s="1">
        <f>E60*10^-3</f>
        <v>2.9100000000000001E-2</v>
      </c>
      <c r="J60" s="1">
        <f>F60*10^-5</f>
        <v>1.1580000000000001E-5</v>
      </c>
      <c r="K60" s="1">
        <f>G60*10^-8</f>
        <v>-6.0760000000000001E-9</v>
      </c>
      <c r="L60" s="101">
        <f>H60*10^-12</f>
        <v>1.311E-12</v>
      </c>
    </row>
    <row r="61" spans="2:12" x14ac:dyDescent="0.55000000000000004">
      <c r="B61" s="100"/>
      <c r="C61" s="1" t="s">
        <v>259</v>
      </c>
      <c r="D61" s="1" t="s">
        <v>27</v>
      </c>
      <c r="E61" s="95">
        <f>(I60*D60+((J60*D60^2)/2)+((K60*D60^3)/3)+((L60*D60^4)/4))-(I60*C60+((J60*C60^2)/2)+((K60*C60^3)/3)+((L60*C60^4)/4))</f>
        <v>13.676042397148811</v>
      </c>
      <c r="F61" s="1" t="s">
        <v>256</v>
      </c>
      <c r="G61" s="1"/>
      <c r="H61" s="1"/>
      <c r="I61" s="1"/>
      <c r="J61" s="1"/>
      <c r="K61" s="1"/>
      <c r="L61" s="101"/>
    </row>
    <row r="62" spans="2:12" x14ac:dyDescent="0.55000000000000004">
      <c r="B62" s="102"/>
      <c r="C62" s="1"/>
      <c r="D62" s="1" t="s">
        <v>27</v>
      </c>
      <c r="E62" s="1">
        <f>E61/4.184</f>
        <v>3.2686525805804996</v>
      </c>
      <c r="F62" s="95" t="s">
        <v>108</v>
      </c>
      <c r="G62" s="1"/>
      <c r="H62" s="1"/>
      <c r="I62" s="1"/>
      <c r="J62" s="1"/>
      <c r="K62" s="7"/>
      <c r="L62" s="101"/>
    </row>
    <row r="63" spans="2:12" x14ac:dyDescent="0.55000000000000004">
      <c r="B63" s="100"/>
      <c r="C63" s="1"/>
      <c r="D63" s="1"/>
      <c r="E63" s="1"/>
      <c r="F63" s="1"/>
      <c r="G63" s="1"/>
      <c r="H63" s="1"/>
      <c r="I63" s="1"/>
      <c r="J63" s="1"/>
      <c r="K63" s="1"/>
      <c r="L63" s="101"/>
    </row>
    <row r="64" spans="2:12" x14ac:dyDescent="0.55000000000000004">
      <c r="B64" s="100" t="s">
        <v>311</v>
      </c>
      <c r="C64" s="1" t="s">
        <v>246</v>
      </c>
      <c r="D64" s="2" t="s">
        <v>365</v>
      </c>
      <c r="E64" s="1" t="s">
        <v>247</v>
      </c>
      <c r="F64" s="1" t="s">
        <v>248</v>
      </c>
      <c r="G64" s="1" t="s">
        <v>249</v>
      </c>
      <c r="H64" s="1" t="s">
        <v>250</v>
      </c>
      <c r="I64" s="1" t="s">
        <v>251</v>
      </c>
      <c r="J64" s="1" t="s">
        <v>252</v>
      </c>
      <c r="K64" s="1" t="s">
        <v>253</v>
      </c>
      <c r="L64" s="101" t="s">
        <v>254</v>
      </c>
    </row>
    <row r="65" spans="2:12" x14ac:dyDescent="0.55000000000000004">
      <c r="B65" s="100"/>
      <c r="C65" s="1">
        <v>25</v>
      </c>
      <c r="D65" s="2">
        <f>D41</f>
        <v>459.35155851391312</v>
      </c>
      <c r="E65" s="1">
        <v>29</v>
      </c>
      <c r="F65" s="1">
        <v>0.21990000000000001</v>
      </c>
      <c r="G65" s="1">
        <v>0.57230000000000003</v>
      </c>
      <c r="H65" s="1">
        <v>-2.871</v>
      </c>
      <c r="I65" s="1">
        <f>E65*10^-3</f>
        <v>2.9000000000000001E-2</v>
      </c>
      <c r="J65" s="1">
        <f>F65*10^-5</f>
        <v>2.1990000000000005E-6</v>
      </c>
      <c r="K65" s="1">
        <f>G65*10^-8</f>
        <v>5.7230000000000002E-9</v>
      </c>
      <c r="L65" s="101">
        <f>H65*10^-12</f>
        <v>-2.8709999999999998E-12</v>
      </c>
    </row>
    <row r="66" spans="2:12" x14ac:dyDescent="0.55000000000000004">
      <c r="B66" s="100"/>
      <c r="C66" s="1" t="s">
        <v>260</v>
      </c>
      <c r="D66" s="1" t="s">
        <v>27</v>
      </c>
      <c r="E66" s="95">
        <f>(I65*D65+((J65*D65^2)/2)+((K65*D65^3)/3)+((L65*D65^4)/4))-(I65*C65+((J65*C65^2)/2)+((K65*C65^3)/3)+((L65*C65^4)/4))</f>
        <v>12.980421600105506</v>
      </c>
      <c r="F66" s="1" t="s">
        <v>256</v>
      </c>
      <c r="G66" s="1"/>
      <c r="H66" s="1"/>
      <c r="I66" s="1"/>
      <c r="J66" s="1"/>
      <c r="K66" s="1"/>
      <c r="L66" s="101"/>
    </row>
    <row r="67" spans="2:12" x14ac:dyDescent="0.55000000000000004">
      <c r="B67" s="100"/>
      <c r="C67" s="1"/>
      <c r="D67" s="1" t="s">
        <v>27</v>
      </c>
      <c r="E67" s="1">
        <f>E66/4.184</f>
        <v>3.1023952199104938</v>
      </c>
      <c r="F67" s="95" t="s">
        <v>108</v>
      </c>
      <c r="G67" s="1"/>
      <c r="H67" s="1"/>
      <c r="I67" s="1"/>
      <c r="J67" s="1"/>
      <c r="K67" s="7"/>
      <c r="L67" s="101"/>
    </row>
    <row r="68" spans="2:12" x14ac:dyDescent="0.55000000000000004">
      <c r="B68" s="100"/>
      <c r="C68" s="1"/>
      <c r="D68" s="1"/>
      <c r="E68" s="1"/>
      <c r="F68" s="95"/>
      <c r="G68" s="1"/>
      <c r="H68" s="1"/>
      <c r="I68" s="1"/>
      <c r="J68" s="1"/>
      <c r="K68" s="7"/>
      <c r="L68" s="101"/>
    </row>
    <row r="69" spans="2:12" x14ac:dyDescent="0.55000000000000004">
      <c r="B69" s="100" t="s">
        <v>378</v>
      </c>
      <c r="C69" s="1" t="s">
        <v>368</v>
      </c>
      <c r="D69" s="1" t="s">
        <v>27</v>
      </c>
      <c r="E69" s="1" t="s">
        <v>369</v>
      </c>
      <c r="F69" s="1" t="s">
        <v>28</v>
      </c>
      <c r="G69" s="120" t="s">
        <v>78</v>
      </c>
      <c r="H69" s="1"/>
      <c r="I69" s="1"/>
      <c r="J69" s="1"/>
      <c r="K69" s="7"/>
      <c r="L69" s="101"/>
    </row>
    <row r="70" spans="2:12" x14ac:dyDescent="0.55000000000000004">
      <c r="B70" s="100"/>
      <c r="C70" s="1"/>
      <c r="D70" s="1" t="s">
        <v>27</v>
      </c>
      <c r="E70" s="1">
        <f>0.22</f>
        <v>0.22</v>
      </c>
      <c r="F70" s="1" t="s">
        <v>28</v>
      </c>
      <c r="G70" s="1">
        <f>D41-25</f>
        <v>434.35155851391312</v>
      </c>
      <c r="H70" s="1"/>
      <c r="I70" s="1"/>
      <c r="J70" s="1"/>
      <c r="K70" s="7"/>
      <c r="L70" s="101"/>
    </row>
    <row r="71" spans="2:12" x14ac:dyDescent="0.55000000000000004">
      <c r="B71" s="100"/>
      <c r="C71" s="1"/>
      <c r="D71" s="1" t="s">
        <v>27</v>
      </c>
      <c r="E71" s="1">
        <f>E70*G70</f>
        <v>95.55734287306089</v>
      </c>
      <c r="F71" s="1" t="s">
        <v>34</v>
      </c>
      <c r="G71" s="1"/>
      <c r="H71" s="1"/>
      <c r="I71" s="1"/>
      <c r="J71" s="1"/>
      <c r="K71" s="7"/>
      <c r="L71" s="101"/>
    </row>
    <row r="72" spans="2:12" ht="14.7" thickBot="1" x14ac:dyDescent="0.6">
      <c r="B72" s="103"/>
      <c r="C72" s="32"/>
      <c r="D72" s="124" t="s">
        <v>27</v>
      </c>
      <c r="E72" s="125">
        <f>E71</f>
        <v>95.55734287306089</v>
      </c>
      <c r="F72" s="118" t="s">
        <v>302</v>
      </c>
      <c r="G72" s="32"/>
      <c r="H72" s="32"/>
      <c r="I72" s="32"/>
      <c r="J72" s="32"/>
      <c r="K72" s="119"/>
      <c r="L72" s="105"/>
    </row>
    <row r="73" spans="2:12" x14ac:dyDescent="0.5500000000000000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x14ac:dyDescent="0.55000000000000004">
      <c r="B74" t="s">
        <v>331</v>
      </c>
      <c r="C74" t="s">
        <v>332</v>
      </c>
      <c r="D74" t="s">
        <v>387</v>
      </c>
      <c r="E74" s="1" t="s">
        <v>129</v>
      </c>
      <c r="F74" s="4"/>
      <c r="G74" s="1"/>
      <c r="H74" s="1"/>
      <c r="I74" s="1"/>
      <c r="J74" s="1"/>
      <c r="K74" s="1"/>
      <c r="L74" s="1"/>
    </row>
    <row r="75" spans="2:12" x14ac:dyDescent="0.55000000000000004">
      <c r="B75" t="s">
        <v>333</v>
      </c>
      <c r="C75">
        <v>52.5</v>
      </c>
      <c r="D75" s="52">
        <f>C75/100*$L$35</f>
        <v>3.7152184628012068</v>
      </c>
      <c r="E75" s="1">
        <f>D75/12</f>
        <v>0.30960153856676725</v>
      </c>
      <c r="F75" s="122"/>
      <c r="G75" s="1"/>
      <c r="H75" s="95"/>
      <c r="I75" s="1"/>
      <c r="J75" s="1"/>
      <c r="K75" s="1"/>
      <c r="L75" s="1"/>
    </row>
    <row r="76" spans="2:12" x14ac:dyDescent="0.55000000000000004">
      <c r="B76" t="s">
        <v>334</v>
      </c>
      <c r="C76">
        <v>4.8</v>
      </c>
      <c r="D76" s="52">
        <f t="shared" ref="D76:D80" si="4">C76/100*$L$35</f>
        <v>0.33967711659896749</v>
      </c>
      <c r="E76" s="1">
        <f>D76/2.016</f>
        <v>0.16849063323361482</v>
      </c>
      <c r="F76" s="122"/>
      <c r="G76" s="1"/>
      <c r="H76" s="1"/>
      <c r="I76" s="1"/>
      <c r="J76" s="1"/>
      <c r="K76" s="1"/>
      <c r="L76" s="1"/>
    </row>
    <row r="77" spans="2:12" x14ac:dyDescent="0.55000000000000004">
      <c r="B77" t="s">
        <v>0</v>
      </c>
      <c r="C77">
        <v>18.3</v>
      </c>
      <c r="D77" s="52">
        <f t="shared" si="4"/>
        <v>1.2950190070335634</v>
      </c>
      <c r="E77" s="1">
        <f>D77/32</f>
        <v>4.0469343969798857E-2</v>
      </c>
      <c r="F77" s="122"/>
      <c r="G77" s="1"/>
      <c r="H77" s="1"/>
      <c r="I77" s="1"/>
      <c r="J77" s="1"/>
      <c r="K77" s="1"/>
      <c r="L77" s="1"/>
    </row>
    <row r="78" spans="2:12" x14ac:dyDescent="0.55000000000000004">
      <c r="B78" t="s">
        <v>1</v>
      </c>
      <c r="C78">
        <v>1.2</v>
      </c>
      <c r="D78" s="52">
        <f t="shared" si="4"/>
        <v>8.4919279149741872E-2</v>
      </c>
      <c r="E78" s="1">
        <f>D78/28</f>
        <v>3.0328313982050667E-3</v>
      </c>
      <c r="F78" s="122"/>
      <c r="G78" s="1"/>
      <c r="H78" s="1"/>
      <c r="I78" s="1"/>
      <c r="J78" s="1"/>
      <c r="K78" s="1"/>
      <c r="L78" s="1"/>
    </row>
    <row r="79" spans="2:12" x14ac:dyDescent="0.55000000000000004">
      <c r="B79" t="s">
        <v>335</v>
      </c>
      <c r="C79">
        <v>0.6</v>
      </c>
      <c r="D79" s="52">
        <f t="shared" si="4"/>
        <v>4.2459639574870936E-2</v>
      </c>
      <c r="E79" s="1">
        <f>D79/32</f>
        <v>1.3268637367147167E-3</v>
      </c>
      <c r="F79" s="122"/>
      <c r="G79" s="1"/>
      <c r="H79" s="1"/>
      <c r="I79" s="1"/>
      <c r="J79" s="1"/>
      <c r="K79" s="1"/>
      <c r="L79" s="1"/>
    </row>
    <row r="80" spans="2:12" x14ac:dyDescent="0.55000000000000004">
      <c r="B80" t="s">
        <v>336</v>
      </c>
      <c r="C80">
        <v>22.6</v>
      </c>
      <c r="D80" s="52">
        <f t="shared" si="4"/>
        <v>1.5993130906534718</v>
      </c>
      <c r="E80" s="1"/>
      <c r="F80" s="1"/>
      <c r="G80" s="1"/>
      <c r="H80" s="1"/>
      <c r="I80" s="1"/>
      <c r="J80" s="1"/>
      <c r="K80" s="1"/>
      <c r="L80" s="1"/>
    </row>
    <row r="81" spans="1:12" x14ac:dyDescent="0.55000000000000004">
      <c r="B81" s="1"/>
      <c r="C81" s="1"/>
      <c r="D81" s="1"/>
      <c r="E81" s="95"/>
      <c r="F81" s="1"/>
      <c r="G81" s="1"/>
      <c r="H81" s="1"/>
      <c r="I81" s="1"/>
      <c r="J81" s="1"/>
      <c r="K81" s="1"/>
      <c r="L81" s="1"/>
    </row>
    <row r="82" spans="1:12" x14ac:dyDescent="0.55000000000000004">
      <c r="B82" t="s">
        <v>396</v>
      </c>
      <c r="C82" t="s">
        <v>27</v>
      </c>
      <c r="D82" s="52">
        <f>E75+E76*0.5+E79</f>
        <v>0.39517371892028935</v>
      </c>
      <c r="E82" t="s">
        <v>129</v>
      </c>
      <c r="J82" s="1"/>
      <c r="K82" s="7"/>
      <c r="L82" s="1"/>
    </row>
    <row r="83" spans="1:12" x14ac:dyDescent="0.55000000000000004">
      <c r="B83" t="s">
        <v>394</v>
      </c>
      <c r="C83" t="s">
        <v>27</v>
      </c>
      <c r="D83" s="52">
        <f>D82-E77</f>
        <v>0.35470437495049051</v>
      </c>
      <c r="E83" t="s">
        <v>129</v>
      </c>
      <c r="J83" s="1"/>
      <c r="K83" s="7"/>
      <c r="L83" s="1"/>
    </row>
    <row r="84" spans="1:12" x14ac:dyDescent="0.55000000000000004">
      <c r="B84" t="s">
        <v>395</v>
      </c>
      <c r="C84" t="s">
        <v>27</v>
      </c>
      <c r="D84" s="16">
        <f>D83*100/21</f>
        <v>1.6890684521451926</v>
      </c>
      <c r="E84" t="s">
        <v>129</v>
      </c>
      <c r="J84" s="1"/>
      <c r="K84" s="1"/>
      <c r="L84" s="1"/>
    </row>
    <row r="85" spans="1:12" x14ac:dyDescent="0.55000000000000004">
      <c r="A85" t="s">
        <v>370</v>
      </c>
      <c r="D85" s="16"/>
      <c r="J85" s="1"/>
      <c r="K85" s="1"/>
      <c r="L85" s="1"/>
    </row>
    <row r="86" spans="1:12" x14ac:dyDescent="0.55000000000000004">
      <c r="B86" t="s">
        <v>371</v>
      </c>
      <c r="C86" t="s">
        <v>27</v>
      </c>
      <c r="D86" s="16">
        <f>D84*1.1</f>
        <v>1.8579752973597121</v>
      </c>
      <c r="E86" t="s">
        <v>129</v>
      </c>
      <c r="J86" s="1"/>
      <c r="K86" s="1"/>
      <c r="L86" s="1"/>
    </row>
    <row r="87" spans="1:12" x14ac:dyDescent="0.55000000000000004">
      <c r="B87" t="s">
        <v>372</v>
      </c>
      <c r="C87" t="s">
        <v>27</v>
      </c>
      <c r="D87" s="15">
        <f>0.21*D86</f>
        <v>0.39017481244553953</v>
      </c>
      <c r="E87" t="s">
        <v>129</v>
      </c>
      <c r="J87" s="1"/>
      <c r="K87" s="1"/>
      <c r="L87" s="1"/>
    </row>
    <row r="88" spans="1:12" x14ac:dyDescent="0.55000000000000004">
      <c r="B88" t="s">
        <v>373</v>
      </c>
      <c r="C88" t="s">
        <v>27</v>
      </c>
      <c r="D88" s="15">
        <f>0.79*D86</f>
        <v>1.4678004849141726</v>
      </c>
      <c r="E88" t="s">
        <v>129</v>
      </c>
      <c r="J88" s="1"/>
      <c r="K88" s="1"/>
      <c r="L88" s="1"/>
    </row>
    <row r="89" spans="1:12" x14ac:dyDescent="0.55000000000000004">
      <c r="D89" s="15"/>
      <c r="J89" s="1"/>
      <c r="K89" s="7"/>
      <c r="L89" s="1"/>
    </row>
    <row r="90" spans="1:12" x14ac:dyDescent="0.55000000000000004">
      <c r="B90" t="s">
        <v>374</v>
      </c>
      <c r="C90" t="s">
        <v>27</v>
      </c>
      <c r="D90" t="s">
        <v>372</v>
      </c>
      <c r="E90" t="s">
        <v>29</v>
      </c>
      <c r="F90" t="s">
        <v>379</v>
      </c>
      <c r="G90" t="s">
        <v>27</v>
      </c>
      <c r="H90" s="15">
        <f>D87+E77</f>
        <v>0.43064415641533837</v>
      </c>
      <c r="I90" t="s">
        <v>129</v>
      </c>
      <c r="J90" s="1" t="s">
        <v>27</v>
      </c>
      <c r="K90" s="123">
        <f>H90*32</f>
        <v>13.780613005290828</v>
      </c>
      <c r="L90" s="4" t="s">
        <v>90</v>
      </c>
    </row>
    <row r="91" spans="1:12" x14ac:dyDescent="0.55000000000000004">
      <c r="B91" t="s">
        <v>375</v>
      </c>
      <c r="C91" t="s">
        <v>27</v>
      </c>
      <c r="D91" t="s">
        <v>373</v>
      </c>
      <c r="E91" t="s">
        <v>29</v>
      </c>
      <c r="F91" t="s">
        <v>380</v>
      </c>
      <c r="G91" t="s">
        <v>27</v>
      </c>
      <c r="H91" s="15">
        <f>E78+D88</f>
        <v>1.4708333163123777</v>
      </c>
      <c r="I91" t="s">
        <v>129</v>
      </c>
      <c r="J91" s="1" t="s">
        <v>27</v>
      </c>
      <c r="K91" s="123">
        <f>H91*28</f>
        <v>41.183332856746574</v>
      </c>
      <c r="L91" s="4" t="s">
        <v>90</v>
      </c>
    </row>
    <row r="92" spans="1:12" x14ac:dyDescent="0.55000000000000004">
      <c r="J92" s="1"/>
      <c r="K92" s="1"/>
      <c r="L92" s="1"/>
    </row>
    <row r="93" spans="1:12" x14ac:dyDescent="0.55000000000000004">
      <c r="B93" t="s">
        <v>376</v>
      </c>
      <c r="C93" t="s">
        <v>27</v>
      </c>
      <c r="D93" t="s">
        <v>374</v>
      </c>
      <c r="E93" t="s">
        <v>81</v>
      </c>
      <c r="F93" t="s">
        <v>383</v>
      </c>
      <c r="G93" t="s">
        <v>27</v>
      </c>
      <c r="H93" s="15">
        <f>H90-D82</f>
        <v>3.5470437495049023E-2</v>
      </c>
      <c r="I93" t="s">
        <v>129</v>
      </c>
      <c r="J93" s="1" t="s">
        <v>27</v>
      </c>
      <c r="K93" s="1">
        <f>H93*32</f>
        <v>1.1350539998415687</v>
      </c>
      <c r="L93" s="4" t="s">
        <v>90</v>
      </c>
    </row>
    <row r="94" spans="1:12" x14ac:dyDescent="0.55000000000000004">
      <c r="B94" t="s">
        <v>377</v>
      </c>
      <c r="C94" t="s">
        <v>27</v>
      </c>
      <c r="D94" t="s">
        <v>375</v>
      </c>
      <c r="E94" t="s">
        <v>27</v>
      </c>
      <c r="F94" s="15">
        <f>H91</f>
        <v>1.4708333163123777</v>
      </c>
      <c r="G94" t="s">
        <v>129</v>
      </c>
      <c r="H94" t="s">
        <v>27</v>
      </c>
      <c r="I94" s="15">
        <f>F94*28</f>
        <v>41.183332856746574</v>
      </c>
      <c r="J94" s="4" t="s">
        <v>90</v>
      </c>
      <c r="K94" s="7"/>
      <c r="L94" s="1"/>
    </row>
    <row r="95" spans="1:12" x14ac:dyDescent="0.55000000000000004">
      <c r="B95" t="s">
        <v>381</v>
      </c>
      <c r="C95" t="s">
        <v>27</v>
      </c>
      <c r="D95" s="52">
        <f>E75</f>
        <v>0.30960153856676725</v>
      </c>
      <c r="E95" t="s">
        <v>129</v>
      </c>
      <c r="F95" t="s">
        <v>27</v>
      </c>
      <c r="G95" s="15">
        <f>D95*44.01</f>
        <v>13.625563712323427</v>
      </c>
      <c r="H95" t="s">
        <v>90</v>
      </c>
      <c r="J95" s="1"/>
      <c r="K95" s="1"/>
      <c r="L95" s="1"/>
    </row>
    <row r="96" spans="1:12" x14ac:dyDescent="0.55000000000000004">
      <c r="B96" t="s">
        <v>382</v>
      </c>
      <c r="C96" t="s">
        <v>27</v>
      </c>
      <c r="D96" s="52">
        <f>E76</f>
        <v>0.16849063323361482</v>
      </c>
      <c r="E96" t="s">
        <v>129</v>
      </c>
      <c r="F96" t="s">
        <v>27</v>
      </c>
      <c r="G96" s="15">
        <f>D96*18.02</f>
        <v>3.0362012108697392</v>
      </c>
      <c r="H96" t="s">
        <v>90</v>
      </c>
      <c r="J96" s="1"/>
      <c r="K96" s="1"/>
      <c r="L96" s="1"/>
    </row>
    <row r="97" spans="1:12" x14ac:dyDescent="0.55000000000000004">
      <c r="B97" t="s">
        <v>384</v>
      </c>
      <c r="C97" t="s">
        <v>27</v>
      </c>
      <c r="D97" s="52">
        <f>E79</f>
        <v>1.3268637367147167E-3</v>
      </c>
      <c r="E97" t="s">
        <v>129</v>
      </c>
      <c r="F97" t="s">
        <v>27</v>
      </c>
      <c r="G97" s="126">
        <f>D97*64.1</f>
        <v>8.5051965523413334E-2</v>
      </c>
      <c r="H97" s="1"/>
      <c r="I97" s="1"/>
      <c r="J97" s="1"/>
      <c r="K97" s="1"/>
      <c r="L97" s="1"/>
    </row>
    <row r="99" spans="1:12" x14ac:dyDescent="0.55000000000000004">
      <c r="B99" s="38" t="s">
        <v>410</v>
      </c>
      <c r="C99" s="38" t="s">
        <v>27</v>
      </c>
      <c r="D99" s="38" t="s">
        <v>411</v>
      </c>
    </row>
    <row r="100" spans="1:12" x14ac:dyDescent="0.55000000000000004">
      <c r="A100" s="129"/>
      <c r="B100" s="144" t="s">
        <v>290</v>
      </c>
      <c r="C100" s="144"/>
      <c r="D100" s="144"/>
      <c r="E100" s="130"/>
      <c r="F100" s="130"/>
      <c r="G100" s="130"/>
      <c r="H100" s="130"/>
      <c r="I100" s="144" t="s">
        <v>291</v>
      </c>
      <c r="J100" s="144"/>
      <c r="K100" s="145"/>
    </row>
    <row r="101" spans="1:12" x14ac:dyDescent="0.55000000000000004">
      <c r="A101" s="131"/>
      <c r="B101" s="1" t="s">
        <v>393</v>
      </c>
      <c r="C101" s="1" t="s">
        <v>292</v>
      </c>
      <c r="D101" s="1" t="s">
        <v>316</v>
      </c>
      <c r="E101" s="1"/>
      <c r="F101" s="1"/>
      <c r="G101" s="1"/>
      <c r="H101" s="1"/>
      <c r="I101" s="1" t="s">
        <v>397</v>
      </c>
      <c r="J101" s="1" t="s">
        <v>292</v>
      </c>
      <c r="K101" s="132" t="s">
        <v>316</v>
      </c>
    </row>
    <row r="102" spans="1:12" x14ac:dyDescent="0.55000000000000004">
      <c r="A102" s="131"/>
      <c r="B102" s="1" t="s">
        <v>17</v>
      </c>
      <c r="C102" s="1" t="s">
        <v>391</v>
      </c>
      <c r="D102" s="1" t="s">
        <v>317</v>
      </c>
      <c r="E102" s="1"/>
      <c r="F102" s="1"/>
      <c r="G102" s="1"/>
      <c r="H102" s="1"/>
      <c r="I102" s="1" t="s">
        <v>401</v>
      </c>
      <c r="J102" s="1" t="s">
        <v>391</v>
      </c>
      <c r="K102" s="132" t="s">
        <v>317</v>
      </c>
    </row>
    <row r="103" spans="1:12" x14ac:dyDescent="0.55000000000000004">
      <c r="A103" s="131" t="s">
        <v>333</v>
      </c>
      <c r="B103" s="95">
        <f>D75</f>
        <v>3.7152184628012068</v>
      </c>
      <c r="C103" s="123">
        <v>0</v>
      </c>
      <c r="D103" s="123">
        <f>C103*B103</f>
        <v>0</v>
      </c>
      <c r="E103" s="1"/>
      <c r="F103" s="1"/>
      <c r="G103" s="1"/>
      <c r="H103" s="1"/>
      <c r="I103" s="1"/>
      <c r="J103" s="1"/>
      <c r="K103" s="132"/>
    </row>
    <row r="104" spans="1:12" x14ac:dyDescent="0.55000000000000004">
      <c r="A104" s="131" t="s">
        <v>388</v>
      </c>
      <c r="B104" s="95">
        <f>D76</f>
        <v>0.33967711659896749</v>
      </c>
      <c r="C104" s="123">
        <v>0</v>
      </c>
      <c r="D104" s="123">
        <f t="shared" ref="D104:D108" si="5">C104*B104</f>
        <v>0</v>
      </c>
      <c r="E104" s="1"/>
      <c r="F104" s="1"/>
      <c r="G104" s="1"/>
      <c r="H104" s="1"/>
      <c r="I104" s="1"/>
      <c r="J104" s="1"/>
      <c r="K104" s="132"/>
    </row>
    <row r="105" spans="1:12" x14ac:dyDescent="0.55000000000000004">
      <c r="A105" s="131" t="s">
        <v>257</v>
      </c>
      <c r="B105" s="123">
        <f>K90</f>
        <v>13.780613005290828</v>
      </c>
      <c r="C105" s="123">
        <v>0</v>
      </c>
      <c r="D105" s="123">
        <f t="shared" si="5"/>
        <v>0</v>
      </c>
      <c r="E105" s="1"/>
      <c r="F105" s="1"/>
      <c r="G105" s="1"/>
      <c r="H105" s="1"/>
      <c r="I105" s="123">
        <f>H93*1000</f>
        <v>35.470437495049026</v>
      </c>
      <c r="J105" s="123">
        <f>E62</f>
        <v>3.2686525805804996</v>
      </c>
      <c r="K105" s="133">
        <f>I105*J105</f>
        <v>115.94053705251132</v>
      </c>
    </row>
    <row r="106" spans="1:12" x14ac:dyDescent="0.55000000000000004">
      <c r="A106" s="131" t="s">
        <v>258</v>
      </c>
      <c r="B106" s="123">
        <f>K91</f>
        <v>41.183332856746574</v>
      </c>
      <c r="C106" s="123">
        <v>0</v>
      </c>
      <c r="D106" s="123">
        <f t="shared" si="5"/>
        <v>0</v>
      </c>
      <c r="E106" s="1"/>
      <c r="F106" s="1"/>
      <c r="G106" s="1"/>
      <c r="H106" s="1"/>
      <c r="I106" s="123">
        <f>F94*1000</f>
        <v>1470.8333163123777</v>
      </c>
      <c r="J106" s="123">
        <f>E67</f>
        <v>3.1023952199104938</v>
      </c>
      <c r="K106" s="133">
        <f>I106*J106</f>
        <v>4563.1062498126203</v>
      </c>
    </row>
    <row r="107" spans="1:12" x14ac:dyDescent="0.55000000000000004">
      <c r="A107" s="131" t="s">
        <v>335</v>
      </c>
      <c r="B107" s="95">
        <f>D79</f>
        <v>4.2459639574870936E-2</v>
      </c>
      <c r="C107" s="123">
        <v>0</v>
      </c>
      <c r="D107" s="123">
        <f t="shared" si="5"/>
        <v>0</v>
      </c>
      <c r="E107" s="1"/>
      <c r="F107" s="1"/>
      <c r="G107" s="1"/>
      <c r="H107" s="1"/>
      <c r="I107" s="1"/>
      <c r="J107" s="1"/>
      <c r="K107" s="132"/>
    </row>
    <row r="108" spans="1:12" x14ac:dyDescent="0.55000000000000004">
      <c r="A108" s="131" t="s">
        <v>390</v>
      </c>
      <c r="B108" s="95">
        <f>D80</f>
        <v>1.5993130906534718</v>
      </c>
      <c r="C108" s="123">
        <v>0</v>
      </c>
      <c r="D108" s="123">
        <f t="shared" si="5"/>
        <v>0</v>
      </c>
      <c r="E108" s="1"/>
      <c r="F108" s="1"/>
      <c r="G108" s="1"/>
      <c r="H108" s="1" t="s">
        <v>17</v>
      </c>
      <c r="I108" s="95">
        <f>B108</f>
        <v>1.5993130906534718</v>
      </c>
      <c r="J108" s="95">
        <f>E72</f>
        <v>95.55734287306089</v>
      </c>
      <c r="K108" s="134">
        <f>I108*J108</f>
        <v>152.82610936494851</v>
      </c>
    </row>
    <row r="109" spans="1:12" x14ac:dyDescent="0.55000000000000004">
      <c r="A109" s="131" t="s">
        <v>3</v>
      </c>
      <c r="B109" s="1"/>
      <c r="C109" s="1"/>
      <c r="D109" s="1"/>
      <c r="E109" s="1"/>
      <c r="F109" s="1"/>
      <c r="G109" s="1"/>
      <c r="H109" s="1"/>
      <c r="I109" s="95">
        <f>D95*1000</f>
        <v>309.60153856676726</v>
      </c>
      <c r="J109" s="95">
        <f>E47</f>
        <v>4.6098448829986198</v>
      </c>
      <c r="K109" s="134">
        <f t="shared" ref="K109:K110" si="6">I109*J109</f>
        <v>1427.2150683305119</v>
      </c>
    </row>
    <row r="110" spans="1:12" x14ac:dyDescent="0.55000000000000004">
      <c r="A110" s="131" t="s">
        <v>389</v>
      </c>
      <c r="B110" s="1"/>
      <c r="C110" s="1"/>
      <c r="D110" s="1"/>
      <c r="E110" s="1"/>
      <c r="F110" s="1"/>
      <c r="G110" s="1"/>
      <c r="H110" s="1"/>
      <c r="I110" s="95">
        <f>D97*1000</f>
        <v>1.3268637367147167</v>
      </c>
      <c r="J110" s="95">
        <f>E57</f>
        <v>4.8040907009369498</v>
      </c>
      <c r="K110" s="134">
        <f t="shared" si="6"/>
        <v>6.3743737389616237</v>
      </c>
    </row>
    <row r="111" spans="1:12" x14ac:dyDescent="0.55000000000000004">
      <c r="A111" s="131" t="s">
        <v>245</v>
      </c>
      <c r="B111" s="1"/>
      <c r="C111" s="1"/>
      <c r="D111" s="1"/>
      <c r="E111" s="1"/>
      <c r="F111" s="1"/>
      <c r="G111" s="1"/>
      <c r="H111" s="1"/>
      <c r="I111" s="95">
        <f>D96*1000</f>
        <v>168.49063323361483</v>
      </c>
      <c r="J111" s="95">
        <f>E52</f>
        <v>3.6956852634706512</v>
      </c>
      <c r="K111" s="134">
        <f>I111*J111</f>
        <v>622.68835027430873</v>
      </c>
    </row>
    <row r="112" spans="1:12" x14ac:dyDescent="0.55000000000000004">
      <c r="A112" s="135"/>
      <c r="B112" s="88"/>
      <c r="C112" s="88" t="s">
        <v>16</v>
      </c>
      <c r="D112" s="136">
        <f>SUM(D103:D111)</f>
        <v>0</v>
      </c>
      <c r="E112" s="88"/>
      <c r="F112" s="88"/>
      <c r="G112" s="88"/>
      <c r="H112" s="88"/>
      <c r="I112" s="88"/>
      <c r="J112" s="88" t="s">
        <v>16</v>
      </c>
      <c r="K112" s="137">
        <f>SUM(K103:K111)</f>
        <v>6888.1506885738618</v>
      </c>
    </row>
    <row r="116" spans="1:5" x14ac:dyDescent="0.55000000000000004">
      <c r="B116" t="s">
        <v>153</v>
      </c>
      <c r="C116" t="s">
        <v>27</v>
      </c>
      <c r="D116" t="s">
        <v>402</v>
      </c>
    </row>
    <row r="117" spans="1:5" x14ac:dyDescent="0.55000000000000004">
      <c r="B117" t="s">
        <v>153</v>
      </c>
      <c r="C117" t="s">
        <v>27</v>
      </c>
      <c r="D117">
        <f>-(D31)</f>
        <v>-4866.8458532366822</v>
      </c>
      <c r="E117" t="s">
        <v>302</v>
      </c>
    </row>
    <row r="118" spans="1:5" x14ac:dyDescent="0.55000000000000004">
      <c r="A118" t="s">
        <v>403</v>
      </c>
      <c r="B118" t="s">
        <v>154</v>
      </c>
      <c r="C118" t="s">
        <v>27</v>
      </c>
      <c r="D118">
        <f>L35*D117</f>
        <v>-34440.753465814123</v>
      </c>
      <c r="E118" t="s">
        <v>155</v>
      </c>
    </row>
    <row r="121" spans="1:5" x14ac:dyDescent="0.55000000000000004">
      <c r="B121" s="17" t="s">
        <v>398</v>
      </c>
      <c r="C121" t="s">
        <v>27</v>
      </c>
      <c r="D121" s="15">
        <f>(K112-D112)+D118</f>
        <v>-27552.602777240259</v>
      </c>
      <c r="E121" t="s">
        <v>155</v>
      </c>
    </row>
    <row r="122" spans="1:5" x14ac:dyDescent="0.55000000000000004">
      <c r="B122" t="s">
        <v>399</v>
      </c>
      <c r="C122" t="s">
        <v>27</v>
      </c>
      <c r="D122" s="16">
        <f>D33-(ABS(D121))</f>
        <v>-4.5889646571595222E-6</v>
      </c>
      <c r="E122" t="s">
        <v>400</v>
      </c>
    </row>
  </sheetData>
  <mergeCells count="4">
    <mergeCell ref="D35:F35"/>
    <mergeCell ref="H35:J35"/>
    <mergeCell ref="B100:D100"/>
    <mergeCell ref="I100:K100"/>
  </mergeCells>
  <pageMargins left="0.7" right="0.7" top="0.75" bottom="0.75" header="0.3" footer="0.3"/>
  <pageSetup orientation="portrait" r:id="rId1"/>
  <ignoredErrors>
    <ignoredError sqref="E6 E78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E10"/>
  <sheetViews>
    <sheetView workbookViewId="0">
      <selection activeCell="K10" sqref="K10"/>
    </sheetView>
  </sheetViews>
  <sheetFormatPr defaultRowHeight="14.4" x14ac:dyDescent="0.55000000000000004"/>
  <cols>
    <col min="2" max="2" width="12.5234375" bestFit="1" customWidth="1"/>
    <col min="4" max="4" width="9.5234375" bestFit="1" customWidth="1"/>
  </cols>
  <sheetData>
    <row r="3" spans="1:5" x14ac:dyDescent="0.55000000000000004">
      <c r="A3" t="s">
        <v>404</v>
      </c>
    </row>
    <row r="4" spans="1:5" x14ac:dyDescent="0.55000000000000004">
      <c r="B4">
        <v>546.35</v>
      </c>
      <c r="C4" t="s">
        <v>405</v>
      </c>
      <c r="D4" t="s">
        <v>3</v>
      </c>
    </row>
    <row r="5" spans="1:5" x14ac:dyDescent="0.55000000000000004">
      <c r="A5" t="s">
        <v>406</v>
      </c>
      <c r="B5">
        <f>B4/3600</f>
        <v>0.15176388888888889</v>
      </c>
      <c r="C5" t="s">
        <v>129</v>
      </c>
      <c r="D5" t="s">
        <v>3</v>
      </c>
    </row>
    <row r="7" spans="1:5" x14ac:dyDescent="0.55000000000000004">
      <c r="A7" t="s">
        <v>407</v>
      </c>
    </row>
    <row r="8" spans="1:5" x14ac:dyDescent="0.55000000000000004">
      <c r="B8" t="s">
        <v>408</v>
      </c>
      <c r="C8" t="s">
        <v>27</v>
      </c>
      <c r="D8" s="121">
        <f>'8'!D95</f>
        <v>0.30960153856676725</v>
      </c>
      <c r="E8" t="s">
        <v>129</v>
      </c>
    </row>
    <row r="10" spans="1:5" x14ac:dyDescent="0.55000000000000004">
      <c r="A10" t="s">
        <v>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8:I41"/>
  <sheetViews>
    <sheetView topLeftCell="A18" workbookViewId="0">
      <selection activeCell="C35" sqref="C35"/>
    </sheetView>
  </sheetViews>
  <sheetFormatPr defaultRowHeight="14.4" x14ac:dyDescent="0.55000000000000004"/>
  <cols>
    <col min="7" max="7" width="2.89453125" customWidth="1"/>
    <col min="8" max="8" width="7.1015625" customWidth="1"/>
    <col min="9" max="9" width="3.3125" customWidth="1"/>
  </cols>
  <sheetData>
    <row r="28" spans="1:9" ht="16.8" thickBot="1" x14ac:dyDescent="0.6">
      <c r="A28" t="s">
        <v>65</v>
      </c>
      <c r="B28" t="s">
        <v>61</v>
      </c>
      <c r="C28" s="28">
        <v>9.81</v>
      </c>
      <c r="D28" s="27" t="s">
        <v>30</v>
      </c>
      <c r="E28" s="27">
        <v>110</v>
      </c>
      <c r="F28" s="27" t="s">
        <v>30</v>
      </c>
      <c r="G28" t="s">
        <v>27</v>
      </c>
      <c r="H28">
        <f>C28*E28</f>
        <v>1079.1000000000001</v>
      </c>
      <c r="I28" t="s">
        <v>59</v>
      </c>
    </row>
    <row r="29" spans="1:9" ht="16.8" thickTop="1" x14ac:dyDescent="0.55000000000000004">
      <c r="C29" s="26"/>
      <c r="D29" s="25" t="s">
        <v>56</v>
      </c>
      <c r="E29" s="25"/>
      <c r="F29" s="25"/>
      <c r="I29" t="s">
        <v>56</v>
      </c>
    </row>
    <row r="31" spans="1:9" ht="16.8" thickBot="1" x14ac:dyDescent="0.6">
      <c r="A31" s="17" t="s">
        <v>64</v>
      </c>
      <c r="B31" t="s">
        <v>63</v>
      </c>
      <c r="C31" s="28">
        <v>1</v>
      </c>
      <c r="D31" s="27">
        <f>H28</f>
        <v>1079.1000000000001</v>
      </c>
      <c r="E31" s="27" t="s">
        <v>59</v>
      </c>
      <c r="F31" s="27"/>
      <c r="G31" t="s">
        <v>27</v>
      </c>
      <c r="H31">
        <f>H28/100</f>
        <v>10.791000000000002</v>
      </c>
      <c r="I31" t="s">
        <v>59</v>
      </c>
    </row>
    <row r="32" spans="1:9" ht="16.8" thickTop="1" x14ac:dyDescent="0.55000000000000004">
      <c r="C32" s="26">
        <v>100</v>
      </c>
      <c r="D32" s="25"/>
      <c r="E32" s="25" t="s">
        <v>56</v>
      </c>
      <c r="F32" s="25"/>
      <c r="I32" t="s">
        <v>56</v>
      </c>
    </row>
    <row r="34" spans="1:9" ht="16.8" thickBot="1" x14ac:dyDescent="0.6">
      <c r="A34" s="17" t="s">
        <v>62</v>
      </c>
      <c r="B34" t="s">
        <v>61</v>
      </c>
      <c r="C34" s="29">
        <f>'Stream Table'!D17</f>
        <v>791.66666666666663</v>
      </c>
      <c r="D34" s="27" t="s">
        <v>60</v>
      </c>
      <c r="E34" s="27">
        <f>H28+H31</f>
        <v>1089.8910000000001</v>
      </c>
      <c r="F34" s="27" t="s">
        <v>59</v>
      </c>
      <c r="G34" t="s">
        <v>27</v>
      </c>
      <c r="H34">
        <f>'1'!E34*'[1]Stream Table'!D17</f>
        <v>862830.375</v>
      </c>
      <c r="I34" t="s">
        <v>58</v>
      </c>
    </row>
    <row r="35" spans="1:9" ht="16.8" thickTop="1" x14ac:dyDescent="0.55000000000000004">
      <c r="C35" s="26"/>
      <c r="D35" s="25" t="s">
        <v>57</v>
      </c>
      <c r="E35" s="25"/>
      <c r="F35" s="25" t="s">
        <v>56</v>
      </c>
    </row>
    <row r="37" spans="1:9" ht="17.100000000000001" thickBot="1" x14ac:dyDescent="0.8">
      <c r="A37" s="17" t="s">
        <v>55</v>
      </c>
      <c r="B37" t="s">
        <v>54</v>
      </c>
      <c r="C37" s="28">
        <v>-1</v>
      </c>
      <c r="D37" s="27">
        <f>H34</f>
        <v>862830.375</v>
      </c>
      <c r="E37" s="27">
        <v>1</v>
      </c>
      <c r="F37" s="27" t="s">
        <v>50</v>
      </c>
      <c r="G37" t="s">
        <v>27</v>
      </c>
      <c r="H37">
        <f>C37*H34/E38</f>
        <v>-862.830375</v>
      </c>
      <c r="I37" t="s">
        <v>50</v>
      </c>
    </row>
    <row r="38" spans="1:9" ht="14.7" thickTop="1" x14ac:dyDescent="0.55000000000000004">
      <c r="C38" s="26"/>
      <c r="D38" s="25"/>
      <c r="E38" s="25">
        <v>1000</v>
      </c>
      <c r="F38" s="25" t="s">
        <v>53</v>
      </c>
    </row>
    <row r="39" spans="1:9" ht="14.7" thickBot="1" x14ac:dyDescent="0.6"/>
    <row r="40" spans="1:9" ht="17.399999999999999" thickTop="1" thickBot="1" x14ac:dyDescent="0.8">
      <c r="A40" s="17" t="s">
        <v>52</v>
      </c>
      <c r="B40" t="s">
        <v>51</v>
      </c>
      <c r="C40" s="28">
        <f>H37</f>
        <v>-862.830375</v>
      </c>
      <c r="D40" s="27" t="s">
        <v>50</v>
      </c>
      <c r="E40" s="27">
        <v>1</v>
      </c>
      <c r="F40" s="27"/>
      <c r="G40" t="s">
        <v>27</v>
      </c>
      <c r="H40" s="8">
        <f>H37/E41</f>
        <v>-1568.7824999999998</v>
      </c>
      <c r="I40" s="8" t="s">
        <v>50</v>
      </c>
    </row>
    <row r="41" spans="1:9" ht="14.7" thickTop="1" x14ac:dyDescent="0.55000000000000004">
      <c r="C41" s="26"/>
      <c r="D41" s="25"/>
      <c r="E41" s="25">
        <v>0.55000000000000004</v>
      </c>
      <c r="F4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102"/>
  <sheetViews>
    <sheetView topLeftCell="A11" workbookViewId="0">
      <selection activeCell="D21" sqref="D21"/>
    </sheetView>
  </sheetViews>
  <sheetFormatPr defaultRowHeight="14.4" x14ac:dyDescent="0.55000000000000004"/>
  <cols>
    <col min="2" max="2" width="14" customWidth="1"/>
    <col min="3" max="4" width="13.5234375" bestFit="1" customWidth="1"/>
    <col min="5" max="5" width="16.68359375" bestFit="1" customWidth="1"/>
    <col min="6" max="6" width="13.5234375" bestFit="1" customWidth="1"/>
    <col min="7" max="7" width="13.68359375" bestFit="1" customWidth="1"/>
    <col min="8" max="8" width="9.1015625" bestFit="1" customWidth="1"/>
    <col min="9" max="9" width="14.41796875" bestFit="1" customWidth="1"/>
    <col min="10" max="11" width="13.1015625" bestFit="1" customWidth="1"/>
    <col min="12" max="12" width="13.3125" bestFit="1" customWidth="1"/>
    <col min="13" max="13" width="11.5234375" bestFit="1" customWidth="1"/>
    <col min="14" max="14" width="4" bestFit="1" customWidth="1"/>
    <col min="15" max="15" width="13.68359375" bestFit="1" customWidth="1"/>
    <col min="16" max="17" width="13.3125" bestFit="1" customWidth="1"/>
    <col min="18" max="18" width="7.3125" bestFit="1" customWidth="1"/>
    <col min="19" max="19" width="5.3125" bestFit="1" customWidth="1"/>
    <col min="20" max="20" width="4" bestFit="1" customWidth="1"/>
  </cols>
  <sheetData>
    <row r="3" spans="1:20" x14ac:dyDescent="0.55000000000000004">
      <c r="B3" t="s">
        <v>24</v>
      </c>
    </row>
    <row r="4" spans="1:20" x14ac:dyDescent="0.55000000000000004">
      <c r="B4" t="s">
        <v>25</v>
      </c>
      <c r="C4">
        <v>0.77</v>
      </c>
      <c r="D4" t="s">
        <v>26</v>
      </c>
    </row>
    <row r="5" spans="1:20" x14ac:dyDescent="0.55000000000000004">
      <c r="B5" t="s">
        <v>8</v>
      </c>
      <c r="C5">
        <v>0.25</v>
      </c>
      <c r="D5" t="s">
        <v>26</v>
      </c>
    </row>
    <row r="6" spans="1:20" x14ac:dyDescent="0.55000000000000004">
      <c r="B6" t="s">
        <v>9</v>
      </c>
      <c r="C6">
        <v>0.81</v>
      </c>
      <c r="D6" t="s">
        <v>26</v>
      </c>
    </row>
    <row r="8" spans="1:20" x14ac:dyDescent="0.55000000000000004">
      <c r="B8" t="s">
        <v>107</v>
      </c>
      <c r="D8">
        <f>4.1</f>
        <v>4.0999999999999996</v>
      </c>
      <c r="E8" t="s">
        <v>108</v>
      </c>
    </row>
    <row r="9" spans="1:20" ht="14.7" thickBot="1" x14ac:dyDescent="0.6">
      <c r="B9">
        <v>4.0999999999999996</v>
      </c>
      <c r="C9" s="32" t="s">
        <v>109</v>
      </c>
      <c r="D9" t="s">
        <v>28</v>
      </c>
      <c r="E9" s="32">
        <v>1000</v>
      </c>
      <c r="F9" s="32" t="s">
        <v>93</v>
      </c>
      <c r="G9" t="s">
        <v>28</v>
      </c>
      <c r="H9" s="32">
        <v>1</v>
      </c>
      <c r="I9" s="32" t="s">
        <v>110</v>
      </c>
      <c r="J9" t="s">
        <v>27</v>
      </c>
      <c r="K9" s="15">
        <f>B9*E9/E10*H9/H10</f>
        <v>48.805456688133127</v>
      </c>
      <c r="L9" t="s">
        <v>34</v>
      </c>
    </row>
    <row r="10" spans="1:20" x14ac:dyDescent="0.55000000000000004">
      <c r="C10" t="s">
        <v>110</v>
      </c>
      <c r="E10">
        <v>1</v>
      </c>
      <c r="F10" t="s">
        <v>109</v>
      </c>
      <c r="H10">
        <v>84.007000000000005</v>
      </c>
      <c r="I10" t="s">
        <v>87</v>
      </c>
    </row>
    <row r="12" spans="1:20" x14ac:dyDescent="0.55000000000000004">
      <c r="A12" s="30" t="s">
        <v>66</v>
      </c>
    </row>
    <row r="13" spans="1:20" x14ac:dyDescent="0.55000000000000004">
      <c r="B13" s="19" t="s">
        <v>111</v>
      </c>
      <c r="C13" s="19" t="s">
        <v>27</v>
      </c>
      <c r="D13" s="19">
        <v>0</v>
      </c>
      <c r="E13" s="19" t="s">
        <v>46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55000000000000004">
      <c r="B14" s="19" t="s">
        <v>95</v>
      </c>
      <c r="C14" s="19" t="s">
        <v>27</v>
      </c>
      <c r="D14" s="19" t="s">
        <v>35</v>
      </c>
      <c r="E14" s="19" t="s">
        <v>29</v>
      </c>
      <c r="F14" s="19" t="s">
        <v>98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55000000000000004">
      <c r="B15" s="19"/>
      <c r="C15" s="19" t="s">
        <v>27</v>
      </c>
      <c r="D15" s="19" t="s">
        <v>89</v>
      </c>
      <c r="E15" s="19" t="s">
        <v>28</v>
      </c>
      <c r="F15" s="19" t="s">
        <v>36</v>
      </c>
      <c r="G15" s="19" t="s">
        <v>28</v>
      </c>
      <c r="H15" s="19" t="s">
        <v>37</v>
      </c>
      <c r="I15" s="19" t="s">
        <v>29</v>
      </c>
      <c r="J15" s="19" t="s">
        <v>84</v>
      </c>
      <c r="K15" s="19" t="s">
        <v>28</v>
      </c>
      <c r="L15" s="19" t="s">
        <v>33</v>
      </c>
      <c r="M15" s="19" t="s">
        <v>28</v>
      </c>
      <c r="N15" s="19" t="s">
        <v>37</v>
      </c>
      <c r="O15" s="19"/>
      <c r="P15" s="21"/>
      <c r="Q15" s="19"/>
      <c r="R15" s="21"/>
      <c r="S15" s="19"/>
      <c r="T15" s="19"/>
    </row>
    <row r="16" spans="1:20" x14ac:dyDescent="0.55000000000000004">
      <c r="B16" s="19"/>
      <c r="C16" s="19" t="s">
        <v>27</v>
      </c>
      <c r="D16" s="24">
        <f>'Stream Table'!V8*(10^3)</f>
        <v>67903.915663609281</v>
      </c>
      <c r="E16" s="19" t="s">
        <v>28</v>
      </c>
      <c r="F16" s="19">
        <f>C5</f>
        <v>0.25</v>
      </c>
      <c r="G16" s="19" t="s">
        <v>28</v>
      </c>
      <c r="H16" s="19">
        <f>'Stream Table'!V2</f>
        <v>27</v>
      </c>
      <c r="I16" s="19" t="s">
        <v>29</v>
      </c>
      <c r="J16" s="24">
        <f>('Stream Table'!V17-'Stream Table'!V8)*(10^3)</f>
        <v>744148.3382032977</v>
      </c>
      <c r="K16" s="19" t="s">
        <v>28</v>
      </c>
      <c r="L16" s="19">
        <f>C6</f>
        <v>0.81</v>
      </c>
      <c r="M16" s="19" t="s">
        <v>28</v>
      </c>
      <c r="N16" s="19">
        <f>'Stream Table'!V2</f>
        <v>27</v>
      </c>
      <c r="O16" s="19"/>
      <c r="P16" s="21"/>
      <c r="Q16" s="19"/>
      <c r="R16" s="21"/>
      <c r="S16" s="19"/>
      <c r="T16" s="19"/>
    </row>
    <row r="17" spans="2:20" x14ac:dyDescent="0.55000000000000004">
      <c r="B17" s="19"/>
      <c r="C17" s="19" t="s">
        <v>27</v>
      </c>
      <c r="D17" s="20">
        <f>(D16*F16*H16)+(J16*L16*N16)+(P16*R16)</f>
        <v>16732875.587235484</v>
      </c>
      <c r="E17" s="19" t="s">
        <v>97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2:20" x14ac:dyDescent="0.55000000000000004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2:20" x14ac:dyDescent="0.55000000000000004">
      <c r="B19" s="19" t="s">
        <v>94</v>
      </c>
      <c r="C19" s="19" t="s">
        <v>27</v>
      </c>
      <c r="D19" s="19" t="s">
        <v>35</v>
      </c>
      <c r="E19" s="19" t="s">
        <v>29</v>
      </c>
      <c r="F19" s="19" t="s">
        <v>98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2:20" x14ac:dyDescent="0.55000000000000004">
      <c r="B20" s="19"/>
      <c r="C20" s="19" t="s">
        <v>27</v>
      </c>
      <c r="D20" s="19" t="s">
        <v>89</v>
      </c>
      <c r="E20" s="19" t="s">
        <v>28</v>
      </c>
      <c r="F20" s="19" t="s">
        <v>36</v>
      </c>
      <c r="G20" s="19" t="s">
        <v>28</v>
      </c>
      <c r="H20" s="19" t="s">
        <v>38</v>
      </c>
      <c r="I20" s="19" t="s">
        <v>29</v>
      </c>
      <c r="J20" s="19" t="s">
        <v>84</v>
      </c>
      <c r="K20" s="19" t="s">
        <v>28</v>
      </c>
      <c r="L20" s="19" t="s">
        <v>33</v>
      </c>
      <c r="M20" s="19" t="s">
        <v>28</v>
      </c>
      <c r="N20" s="19" t="s">
        <v>38</v>
      </c>
      <c r="O20" s="19"/>
      <c r="P20" s="19"/>
      <c r="Q20" s="19"/>
      <c r="R20" s="19"/>
      <c r="S20" s="19"/>
      <c r="T20" s="19"/>
    </row>
    <row r="21" spans="2:20" x14ac:dyDescent="0.55000000000000004">
      <c r="B21" s="19"/>
      <c r="C21" s="19" t="s">
        <v>27</v>
      </c>
      <c r="D21" s="24">
        <f>'Stream Table'!P8*(10^3)</f>
        <v>67903.915663609281</v>
      </c>
      <c r="E21" s="19" t="s">
        <v>28</v>
      </c>
      <c r="F21" s="19">
        <f>C5</f>
        <v>0.25</v>
      </c>
      <c r="G21" s="19" t="s">
        <v>28</v>
      </c>
      <c r="H21" s="19">
        <f>'Stream Table'!O2</f>
        <v>38</v>
      </c>
      <c r="I21" s="19" t="s">
        <v>29</v>
      </c>
      <c r="J21" s="24">
        <f>('Stream Table'!O17-'Stream Table'!O8)*(10^3)</f>
        <v>744988.63651772169</v>
      </c>
      <c r="K21" s="19" t="s">
        <v>28</v>
      </c>
      <c r="L21" s="19">
        <f>C6</f>
        <v>0.81</v>
      </c>
      <c r="M21" s="19" t="s">
        <v>28</v>
      </c>
      <c r="N21" s="19">
        <f>'Stream Table'!O2</f>
        <v>38</v>
      </c>
      <c r="O21" s="19"/>
      <c r="P21" s="19"/>
      <c r="Q21" s="19"/>
      <c r="R21" s="21"/>
      <c r="S21" s="19"/>
      <c r="T21" s="19"/>
    </row>
    <row r="22" spans="2:20" x14ac:dyDescent="0.55000000000000004">
      <c r="B22" s="19"/>
      <c r="C22" s="19" t="s">
        <v>27</v>
      </c>
      <c r="D22" s="20">
        <f>(D21*F21*H21)+(J21*L21*N21)+(P21*R21)</f>
        <v>23575837.430819765</v>
      </c>
      <c r="E22" s="19" t="s">
        <v>97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4" spans="2:20" x14ac:dyDescent="0.55000000000000004">
      <c r="B24" t="s">
        <v>40</v>
      </c>
    </row>
    <row r="25" spans="2:20" x14ac:dyDescent="0.55000000000000004">
      <c r="B25" s="19" t="s">
        <v>96</v>
      </c>
      <c r="C25" t="s">
        <v>27</v>
      </c>
      <c r="D25" s="19" t="s">
        <v>76</v>
      </c>
      <c r="E25" t="s">
        <v>28</v>
      </c>
      <c r="F25" t="s">
        <v>41</v>
      </c>
      <c r="G25" t="s">
        <v>28</v>
      </c>
      <c r="H25" t="s">
        <v>42</v>
      </c>
    </row>
    <row r="26" spans="2:20" x14ac:dyDescent="0.55000000000000004">
      <c r="C26" t="s">
        <v>27</v>
      </c>
      <c r="D26" s="16">
        <f>'Stream Table'!E17*(10^3)</f>
        <v>791666.66666666663</v>
      </c>
      <c r="E26" t="s">
        <v>28</v>
      </c>
      <c r="F26">
        <f>C4</f>
        <v>0.77</v>
      </c>
      <c r="G26" t="s">
        <v>28</v>
      </c>
      <c r="H26">
        <f>'Stream Table'!E2</f>
        <v>10</v>
      </c>
    </row>
    <row r="27" spans="2:20" x14ac:dyDescent="0.55000000000000004">
      <c r="C27" t="s">
        <v>27</v>
      </c>
      <c r="D27" s="16">
        <f>D26*F26*H26</f>
        <v>6095833.333333334</v>
      </c>
      <c r="E27" t="s">
        <v>97</v>
      </c>
    </row>
    <row r="29" spans="2:20" x14ac:dyDescent="0.55000000000000004">
      <c r="B29" t="s">
        <v>92</v>
      </c>
    </row>
    <row r="30" spans="2:20" x14ac:dyDescent="0.55000000000000004">
      <c r="C30" s="19" t="s">
        <v>113</v>
      </c>
      <c r="D30" s="19" t="s">
        <v>29</v>
      </c>
      <c r="E30" s="19" t="s">
        <v>94</v>
      </c>
      <c r="F30" s="19" t="s">
        <v>29</v>
      </c>
      <c r="G30" s="19" t="s">
        <v>96</v>
      </c>
      <c r="H30" s="19" t="s">
        <v>27</v>
      </c>
      <c r="I30" s="19" t="s">
        <v>102</v>
      </c>
      <c r="J30" s="19" t="s">
        <v>29</v>
      </c>
      <c r="K30" s="19" t="s">
        <v>95</v>
      </c>
    </row>
    <row r="31" spans="2:20" x14ac:dyDescent="0.55000000000000004">
      <c r="B31" s="18" t="s">
        <v>39</v>
      </c>
      <c r="C31" s="20">
        <f>('Stream Table'!V8-'Stream Table'!O8)*(10^3)*'2'!K9</f>
        <v>40699.634801838969</v>
      </c>
      <c r="D31" s="19" t="s">
        <v>29</v>
      </c>
      <c r="E31" s="21">
        <f>D22</f>
        <v>23575837.430819765</v>
      </c>
      <c r="F31" s="19" t="s">
        <v>29</v>
      </c>
      <c r="G31" s="19">
        <f>D27</f>
        <v>6095833.333333334</v>
      </c>
      <c r="H31" s="19" t="s">
        <v>27</v>
      </c>
      <c r="I31" s="19" t="str">
        <f>I30</f>
        <v>H3'</v>
      </c>
      <c r="J31" s="19" t="s">
        <v>29</v>
      </c>
      <c r="K31" s="21">
        <f>D17</f>
        <v>16732875.587235484</v>
      </c>
    </row>
    <row r="32" spans="2:20" x14ac:dyDescent="0.55000000000000004">
      <c r="B32" s="18" t="s">
        <v>39</v>
      </c>
      <c r="C32" s="19" t="s">
        <v>102</v>
      </c>
      <c r="D32" s="19" t="s">
        <v>27</v>
      </c>
      <c r="E32" s="15">
        <f>(E31+G31+C31)-K31</f>
        <v>12979494.811719455</v>
      </c>
      <c r="F32" t="s">
        <v>97</v>
      </c>
    </row>
    <row r="33" spans="1:20" x14ac:dyDescent="0.55000000000000004">
      <c r="B33" t="s">
        <v>44</v>
      </c>
    </row>
    <row r="34" spans="1:20" x14ac:dyDescent="0.55000000000000004">
      <c r="B34" s="19" t="s">
        <v>43</v>
      </c>
      <c r="C34" s="19" t="s">
        <v>27</v>
      </c>
      <c r="D34" s="19" t="s">
        <v>76</v>
      </c>
      <c r="E34" s="19" t="s">
        <v>28</v>
      </c>
      <c r="F34" s="19" t="s">
        <v>41</v>
      </c>
      <c r="G34" s="19" t="s">
        <v>28</v>
      </c>
      <c r="H34" s="19" t="s">
        <v>45</v>
      </c>
    </row>
    <row r="35" spans="1:20" x14ac:dyDescent="0.55000000000000004">
      <c r="A35" s="18" t="s">
        <v>39</v>
      </c>
      <c r="B35" s="22">
        <f>E32</f>
        <v>12979494.811719455</v>
      </c>
      <c r="C35" s="19" t="s">
        <v>27</v>
      </c>
      <c r="D35" s="19">
        <f>'Stream Table'!F17*(10^3)</f>
        <v>791666.66666666663</v>
      </c>
      <c r="E35" s="19" t="s">
        <v>28</v>
      </c>
      <c r="F35" s="19">
        <f>C4</f>
        <v>0.77</v>
      </c>
      <c r="G35" s="19" t="s">
        <v>28</v>
      </c>
      <c r="H35" s="19" t="str">
        <f>H34</f>
        <v>T3</v>
      </c>
    </row>
    <row r="36" spans="1:20" x14ac:dyDescent="0.55000000000000004">
      <c r="A36" s="46" t="s">
        <v>39</v>
      </c>
      <c r="B36" s="47" t="s">
        <v>45</v>
      </c>
      <c r="C36" s="48" t="s">
        <v>27</v>
      </c>
      <c r="D36" s="49">
        <f>B35/(D35*F35)</f>
        <v>21.292404339115986</v>
      </c>
      <c r="E36" s="50" t="s">
        <v>46</v>
      </c>
      <c r="F36" s="19"/>
      <c r="G36" s="19"/>
      <c r="H36" s="19"/>
    </row>
    <row r="38" spans="1:20" x14ac:dyDescent="0.55000000000000004">
      <c r="A38" s="30" t="s">
        <v>67</v>
      </c>
    </row>
    <row r="39" spans="1:20" x14ac:dyDescent="0.55000000000000004">
      <c r="B39" s="19" t="s">
        <v>100</v>
      </c>
      <c r="C39" s="19" t="s">
        <v>27</v>
      </c>
      <c r="D39" s="19" t="s">
        <v>35</v>
      </c>
      <c r="E39" s="19" t="s">
        <v>29</v>
      </c>
      <c r="F39" s="19" t="s">
        <v>32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55000000000000004">
      <c r="B40" s="19"/>
      <c r="C40" s="19" t="s">
        <v>27</v>
      </c>
      <c r="D40" s="19" t="s">
        <v>99</v>
      </c>
      <c r="E40" s="19" t="s">
        <v>28</v>
      </c>
      <c r="F40" s="19" t="s">
        <v>36</v>
      </c>
      <c r="G40" s="19" t="s">
        <v>28</v>
      </c>
      <c r="H40" s="19" t="s">
        <v>47</v>
      </c>
      <c r="I40" s="19" t="s">
        <v>29</v>
      </c>
      <c r="J40" s="19" t="s">
        <v>84</v>
      </c>
      <c r="K40" s="19" t="s">
        <v>28</v>
      </c>
      <c r="L40" s="19" t="s">
        <v>33</v>
      </c>
      <c r="M40" s="19" t="s">
        <v>28</v>
      </c>
      <c r="N40" s="19" t="s">
        <v>47</v>
      </c>
      <c r="O40" s="19"/>
      <c r="P40" s="19"/>
      <c r="Q40" s="19"/>
      <c r="R40" s="19"/>
      <c r="S40" s="19"/>
      <c r="T40" s="19"/>
    </row>
    <row r="41" spans="1:20" x14ac:dyDescent="0.55000000000000004">
      <c r="B41" s="19"/>
      <c r="C41" s="19" t="s">
        <v>27</v>
      </c>
      <c r="D41" s="24">
        <f>'Stream Table'!N8*(10^3)</f>
        <v>66230</v>
      </c>
      <c r="E41" s="19" t="s">
        <v>28</v>
      </c>
      <c r="F41" s="19">
        <f>C5</f>
        <v>0.25</v>
      </c>
      <c r="G41" s="19" t="s">
        <v>28</v>
      </c>
      <c r="H41" s="19">
        <f>'Stream Table'!N2</f>
        <v>49</v>
      </c>
      <c r="I41" s="19" t="s">
        <v>29</v>
      </c>
      <c r="J41" s="24">
        <f>('Stream Table'!N17-'Stream Table'!N8)*(10^3)</f>
        <v>745818.63651772169</v>
      </c>
      <c r="K41" s="19" t="s">
        <v>28</v>
      </c>
      <c r="L41" s="19">
        <f>C6</f>
        <v>0.81</v>
      </c>
      <c r="M41" s="19" t="s">
        <v>28</v>
      </c>
      <c r="N41" s="19">
        <f>'Stream Table'!N2</f>
        <v>49</v>
      </c>
      <c r="O41" s="19"/>
      <c r="P41" s="19"/>
      <c r="Q41" s="19"/>
      <c r="R41" s="19"/>
      <c r="S41" s="19"/>
      <c r="T41" s="19"/>
    </row>
    <row r="42" spans="1:20" x14ac:dyDescent="0.55000000000000004">
      <c r="B42" s="19"/>
      <c r="C42" s="19" t="s">
        <v>27</v>
      </c>
      <c r="D42" s="20">
        <f>(D41*F41*H41)+(J41*L41*N41)</f>
        <v>30412859.183388375</v>
      </c>
      <c r="E42" s="19" t="s">
        <v>97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4" spans="1:20" x14ac:dyDescent="0.55000000000000004">
      <c r="B44" t="s">
        <v>101</v>
      </c>
    </row>
    <row r="45" spans="1:20" x14ac:dyDescent="0.55000000000000004">
      <c r="C45" s="19" t="s">
        <v>113</v>
      </c>
      <c r="D45" s="19" t="s">
        <v>29</v>
      </c>
      <c r="E45" s="19" t="s">
        <v>102</v>
      </c>
      <c r="F45" s="19" t="s">
        <v>29</v>
      </c>
      <c r="G45" s="19" t="s">
        <v>100</v>
      </c>
      <c r="H45" s="19" t="s">
        <v>27</v>
      </c>
      <c r="I45" s="19" t="s">
        <v>103</v>
      </c>
      <c r="J45" s="19" t="s">
        <v>29</v>
      </c>
      <c r="K45" s="19" t="s">
        <v>94</v>
      </c>
    </row>
    <row r="46" spans="1:20" x14ac:dyDescent="0.55000000000000004">
      <c r="B46" s="18" t="s">
        <v>39</v>
      </c>
      <c r="C46" s="20">
        <f>('Stream Table'!O8-'Stream Table'!N8)*(10^3)*'2'!K9</f>
        <v>40996.583618031298</v>
      </c>
      <c r="D46" s="19" t="s">
        <v>29</v>
      </c>
      <c r="E46" s="21">
        <f>E32</f>
        <v>12979494.811719455</v>
      </c>
      <c r="F46" s="19" t="s">
        <v>29</v>
      </c>
      <c r="G46" s="21">
        <f>D42</f>
        <v>30412859.183388375</v>
      </c>
      <c r="H46" s="19" t="s">
        <v>27</v>
      </c>
      <c r="I46" s="19" t="str">
        <f>I45</f>
        <v>H4'</v>
      </c>
      <c r="J46" s="19" t="s">
        <v>29</v>
      </c>
      <c r="K46" s="21">
        <f>D22</f>
        <v>23575837.430819765</v>
      </c>
    </row>
    <row r="47" spans="1:20" x14ac:dyDescent="0.55000000000000004">
      <c r="B47" s="18" t="s">
        <v>39</v>
      </c>
      <c r="C47" s="19" t="str">
        <f>I46</f>
        <v>H4'</v>
      </c>
      <c r="D47" s="19" t="s">
        <v>27</v>
      </c>
      <c r="E47" s="16">
        <f>(C46+E46+G46)-K46</f>
        <v>19857513.147906095</v>
      </c>
      <c r="F47" t="s">
        <v>97</v>
      </c>
    </row>
    <row r="48" spans="1:20" x14ac:dyDescent="0.55000000000000004">
      <c r="B48" t="s">
        <v>44</v>
      </c>
    </row>
    <row r="49" spans="1:20" x14ac:dyDescent="0.55000000000000004">
      <c r="B49" s="19" t="s">
        <v>48</v>
      </c>
      <c r="C49" s="19" t="s">
        <v>27</v>
      </c>
      <c r="D49" s="19" t="s">
        <v>76</v>
      </c>
      <c r="E49" s="19" t="s">
        <v>28</v>
      </c>
      <c r="F49" s="19" t="s">
        <v>41</v>
      </c>
      <c r="G49" s="19" t="s">
        <v>28</v>
      </c>
      <c r="H49" s="19" t="s">
        <v>49</v>
      </c>
    </row>
    <row r="50" spans="1:20" x14ac:dyDescent="0.55000000000000004">
      <c r="A50" s="18" t="s">
        <v>39</v>
      </c>
      <c r="B50" s="22">
        <f>E47</f>
        <v>19857513.147906095</v>
      </c>
      <c r="C50" s="19" t="s">
        <v>27</v>
      </c>
      <c r="D50" s="19">
        <f>'Stream Table'!N17*(10^3)</f>
        <v>812048.63651772169</v>
      </c>
      <c r="E50" s="19" t="s">
        <v>28</v>
      </c>
      <c r="F50" s="19">
        <f>C4</f>
        <v>0.77</v>
      </c>
      <c r="G50" s="19" t="s">
        <v>28</v>
      </c>
      <c r="H50" s="19" t="str">
        <f>H49</f>
        <v>T4</v>
      </c>
    </row>
    <row r="51" spans="1:20" x14ac:dyDescent="0.55000000000000004">
      <c r="A51" s="46" t="s">
        <v>39</v>
      </c>
      <c r="B51" s="47" t="str">
        <f>H49</f>
        <v>T4</v>
      </c>
      <c r="C51" s="48" t="s">
        <v>27</v>
      </c>
      <c r="D51" s="51">
        <f>B50/(D50*F50)</f>
        <v>31.757923053419173</v>
      </c>
      <c r="E51" s="50" t="s">
        <v>46</v>
      </c>
      <c r="F51" s="19"/>
      <c r="G51" s="19"/>
      <c r="H51" s="19"/>
    </row>
    <row r="53" spans="1:20" x14ac:dyDescent="0.55000000000000004">
      <c r="A53" s="30" t="s">
        <v>112</v>
      </c>
    </row>
    <row r="54" spans="1:20" x14ac:dyDescent="0.55000000000000004">
      <c r="B54" s="19" t="s">
        <v>68</v>
      </c>
      <c r="C54" s="19" t="s">
        <v>27</v>
      </c>
      <c r="D54" s="19" t="s">
        <v>35</v>
      </c>
      <c r="E54" s="19" t="s">
        <v>29</v>
      </c>
      <c r="F54" s="19" t="s">
        <v>98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55000000000000004">
      <c r="B55" s="19"/>
      <c r="C55" s="19" t="s">
        <v>27</v>
      </c>
      <c r="D55" s="19" t="s">
        <v>89</v>
      </c>
      <c r="E55" s="19" t="s">
        <v>28</v>
      </c>
      <c r="F55" s="19" t="s">
        <v>36</v>
      </c>
      <c r="G55" s="19" t="s">
        <v>28</v>
      </c>
      <c r="H55" s="19" t="s">
        <v>69</v>
      </c>
      <c r="I55" s="19" t="s">
        <v>29</v>
      </c>
      <c r="J55" s="19" t="s">
        <v>114</v>
      </c>
      <c r="K55" s="19" t="s">
        <v>28</v>
      </c>
      <c r="L55" s="19" t="s">
        <v>33</v>
      </c>
      <c r="M55" s="19" t="s">
        <v>28</v>
      </c>
      <c r="N55" s="19" t="s">
        <v>69</v>
      </c>
      <c r="O55" s="19"/>
      <c r="P55" s="19"/>
      <c r="Q55" s="19"/>
      <c r="R55" s="19"/>
      <c r="S55" s="19"/>
      <c r="T55" s="19"/>
    </row>
    <row r="56" spans="1:20" x14ac:dyDescent="0.55000000000000004">
      <c r="B56" s="19"/>
      <c r="C56" s="19" t="s">
        <v>27</v>
      </c>
      <c r="D56" s="24">
        <f>'Stream Table'!M8*(10^3)</f>
        <v>64355.284015852048</v>
      </c>
      <c r="E56" s="19" t="s">
        <v>28</v>
      </c>
      <c r="F56" s="19">
        <f>C5</f>
        <v>0.25</v>
      </c>
      <c r="G56" s="19" t="s">
        <v>28</v>
      </c>
      <c r="H56" s="19">
        <f>'Stream Table'!M2</f>
        <v>60</v>
      </c>
      <c r="I56" s="19" t="s">
        <v>29</v>
      </c>
      <c r="J56" s="24">
        <f>('Stream Table'!M17-'Stream Table'!N8)*(10^3)</f>
        <v>745822.25386690698</v>
      </c>
      <c r="K56" s="19" t="s">
        <v>28</v>
      </c>
      <c r="L56" s="19">
        <f>C6</f>
        <v>0.81</v>
      </c>
      <c r="M56" s="19" t="s">
        <v>28</v>
      </c>
      <c r="N56" s="19">
        <f>'Stream Table'!M2</f>
        <v>60</v>
      </c>
      <c r="O56" s="19"/>
      <c r="P56" s="19"/>
      <c r="Q56" s="19"/>
      <c r="R56" s="19"/>
      <c r="S56" s="19"/>
      <c r="T56" s="19"/>
    </row>
    <row r="57" spans="1:20" x14ac:dyDescent="0.55000000000000004">
      <c r="B57" s="19"/>
      <c r="C57" s="19" t="s">
        <v>27</v>
      </c>
      <c r="D57" s="20">
        <f>(D56*F56*H56)+(J56*L56*N56)</f>
        <v>37212290.798169464</v>
      </c>
      <c r="E57" s="19" t="s">
        <v>97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9" spans="1:20" x14ac:dyDescent="0.55000000000000004">
      <c r="B59" t="s">
        <v>104</v>
      </c>
    </row>
    <row r="60" spans="1:20" x14ac:dyDescent="0.55000000000000004">
      <c r="C60" s="19" t="s">
        <v>113</v>
      </c>
      <c r="D60" s="19" t="s">
        <v>29</v>
      </c>
      <c r="E60" s="19" t="s">
        <v>103</v>
      </c>
      <c r="F60" s="19" t="s">
        <v>29</v>
      </c>
      <c r="G60" s="19" t="s">
        <v>105</v>
      </c>
      <c r="H60" s="19" t="s">
        <v>27</v>
      </c>
      <c r="I60" s="19" t="s">
        <v>106</v>
      </c>
      <c r="J60" s="19" t="s">
        <v>29</v>
      </c>
      <c r="K60" s="19" t="s">
        <v>100</v>
      </c>
    </row>
    <row r="61" spans="1:20" x14ac:dyDescent="0.55000000000000004">
      <c r="B61" s="18" t="s">
        <v>39</v>
      </c>
      <c r="C61">
        <f>('Stream Table'!N8-'Stream Table'!M8)*(10^3)*K9</f>
        <v>91496.369766883858</v>
      </c>
      <c r="E61" s="21">
        <f>E47</f>
        <v>19857513.147906095</v>
      </c>
      <c r="F61" s="19" t="s">
        <v>29</v>
      </c>
      <c r="G61" s="21">
        <f>D57</f>
        <v>37212290.798169464</v>
      </c>
      <c r="H61" s="19" t="s">
        <v>27</v>
      </c>
      <c r="I61" s="19" t="str">
        <f>I60</f>
        <v>H5'</v>
      </c>
      <c r="J61" s="19" t="s">
        <v>29</v>
      </c>
      <c r="K61" s="21">
        <f>D42</f>
        <v>30412859.183388375</v>
      </c>
    </row>
    <row r="62" spans="1:20" x14ac:dyDescent="0.55000000000000004">
      <c r="B62" s="18" t="s">
        <v>39</v>
      </c>
      <c r="C62" s="19" t="str">
        <f>I61</f>
        <v>H5'</v>
      </c>
      <c r="D62" s="19" t="s">
        <v>27</v>
      </c>
      <c r="E62" s="15">
        <f>(E61+G61)-K61</f>
        <v>26656944.762687184</v>
      </c>
      <c r="F62" t="s">
        <v>34</v>
      </c>
    </row>
    <row r="63" spans="1:20" x14ac:dyDescent="0.55000000000000004">
      <c r="B63" t="s">
        <v>44</v>
      </c>
    </row>
    <row r="64" spans="1:20" x14ac:dyDescent="0.55000000000000004">
      <c r="B64" s="19" t="s">
        <v>70</v>
      </c>
      <c r="C64" s="19" t="s">
        <v>27</v>
      </c>
      <c r="D64" s="19" t="s">
        <v>76</v>
      </c>
      <c r="E64" s="19" t="s">
        <v>28</v>
      </c>
      <c r="F64" s="19" t="s">
        <v>41</v>
      </c>
      <c r="G64" s="19" t="s">
        <v>28</v>
      </c>
      <c r="H64" s="19" t="s">
        <v>71</v>
      </c>
    </row>
    <row r="65" spans="1:21" x14ac:dyDescent="0.55000000000000004">
      <c r="A65" s="18" t="s">
        <v>39</v>
      </c>
      <c r="B65" s="22">
        <f>E62</f>
        <v>26656944.762687184</v>
      </c>
      <c r="C65" s="19" t="s">
        <v>27</v>
      </c>
      <c r="D65" s="19">
        <f>'Stream Table'!H17*(10^3)</f>
        <v>791666.66666666663</v>
      </c>
      <c r="E65" s="19" t="s">
        <v>28</v>
      </c>
      <c r="F65" s="19">
        <f>C4</f>
        <v>0.77</v>
      </c>
      <c r="G65" s="19" t="s">
        <v>28</v>
      </c>
      <c r="H65" s="19" t="str">
        <f>H64</f>
        <v>T5</v>
      </c>
    </row>
    <row r="66" spans="1:21" x14ac:dyDescent="0.55000000000000004">
      <c r="A66" s="46" t="s">
        <v>39</v>
      </c>
      <c r="B66" s="47" t="str">
        <f>H64</f>
        <v>T5</v>
      </c>
      <c r="C66" s="48" t="s">
        <v>27</v>
      </c>
      <c r="D66" s="51">
        <f>B65/(D65*F65)</f>
        <v>43.729779515002896</v>
      </c>
      <c r="E66" s="50" t="s">
        <v>46</v>
      </c>
      <c r="F66" s="19"/>
      <c r="G66" s="19"/>
      <c r="H66" s="19"/>
    </row>
    <row r="68" spans="1:21" ht="14.7" customHeight="1" x14ac:dyDescent="0.55000000000000004"/>
    <row r="69" spans="1:21" ht="14.7" customHeight="1" x14ac:dyDescent="0.55000000000000004">
      <c r="A69" s="138" t="s">
        <v>72</v>
      </c>
      <c r="B69" s="138"/>
      <c r="C69" s="138"/>
      <c r="D69" s="31"/>
    </row>
    <row r="70" spans="1:21" ht="13.2" customHeight="1" x14ac:dyDescent="0.55000000000000004">
      <c r="A70" s="138"/>
      <c r="B70" s="138"/>
      <c r="C70" s="138"/>
      <c r="D70" s="31"/>
    </row>
    <row r="71" spans="1:21" x14ac:dyDescent="0.55000000000000004">
      <c r="B71" t="s">
        <v>73</v>
      </c>
      <c r="C71" s="19" t="s">
        <v>74</v>
      </c>
      <c r="D71" s="19" t="s">
        <v>27</v>
      </c>
      <c r="E71" s="19">
        <v>5</v>
      </c>
      <c r="F71" s="19" t="s">
        <v>29</v>
      </c>
      <c r="G71" s="19" t="s">
        <v>45</v>
      </c>
    </row>
    <row r="72" spans="1:21" x14ac:dyDescent="0.55000000000000004">
      <c r="D72" s="19" t="s">
        <v>27</v>
      </c>
      <c r="E72" s="19">
        <f>E71</f>
        <v>5</v>
      </c>
      <c r="F72" s="19" t="s">
        <v>29</v>
      </c>
      <c r="G72" s="20">
        <f>D36</f>
        <v>21.292404339115986</v>
      </c>
    </row>
    <row r="73" spans="1:21" x14ac:dyDescent="0.55000000000000004">
      <c r="D73" s="19" t="s">
        <v>27</v>
      </c>
      <c r="E73" s="16">
        <f>E72+G72</f>
        <v>26.292404339115986</v>
      </c>
      <c r="F73" t="s">
        <v>46</v>
      </c>
    </row>
    <row r="74" spans="1:21" x14ac:dyDescent="0.55000000000000004">
      <c r="B74" t="s">
        <v>75</v>
      </c>
    </row>
    <row r="75" spans="1:21" x14ac:dyDescent="0.55000000000000004">
      <c r="B75" t="s">
        <v>77</v>
      </c>
    </row>
    <row r="76" spans="1:21" x14ac:dyDescent="0.55000000000000004">
      <c r="C76" s="19" t="s">
        <v>76</v>
      </c>
      <c r="D76" s="19" t="s">
        <v>28</v>
      </c>
      <c r="E76" s="19" t="s">
        <v>41</v>
      </c>
      <c r="F76" s="19" t="s">
        <v>28</v>
      </c>
      <c r="G76" s="23" t="s">
        <v>82</v>
      </c>
      <c r="H76" s="23" t="s">
        <v>29</v>
      </c>
      <c r="I76" s="23" t="s">
        <v>79</v>
      </c>
      <c r="J76" s="23" t="s">
        <v>28</v>
      </c>
      <c r="K76" s="23" t="s">
        <v>36</v>
      </c>
      <c r="L76" s="23" t="s">
        <v>28</v>
      </c>
      <c r="M76" s="23" t="s">
        <v>78</v>
      </c>
      <c r="N76" s="23" t="s">
        <v>29</v>
      </c>
      <c r="O76" s="23" t="s">
        <v>114</v>
      </c>
      <c r="P76" s="23" t="s">
        <v>28</v>
      </c>
      <c r="Q76" s="23" t="s">
        <v>33</v>
      </c>
      <c r="R76" s="23" t="s">
        <v>28</v>
      </c>
      <c r="S76" s="23" t="s">
        <v>78</v>
      </c>
      <c r="T76" s="23" t="s">
        <v>27</v>
      </c>
      <c r="U76" s="19">
        <v>0</v>
      </c>
    </row>
    <row r="77" spans="1:21" x14ac:dyDescent="0.55000000000000004">
      <c r="B77" t="s">
        <v>85</v>
      </c>
      <c r="C77" s="19"/>
      <c r="D77" s="19"/>
      <c r="E77" s="19"/>
      <c r="F77" s="19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21" x14ac:dyDescent="0.55000000000000004">
      <c r="B78" s="23" t="s">
        <v>80</v>
      </c>
      <c r="C78" s="19" t="s">
        <v>27</v>
      </c>
      <c r="D78" s="19" t="s">
        <v>45</v>
      </c>
      <c r="E78" s="19" t="s">
        <v>81</v>
      </c>
      <c r="F78" s="19" t="s">
        <v>42</v>
      </c>
    </row>
    <row r="79" spans="1:21" x14ac:dyDescent="0.55000000000000004">
      <c r="B79" s="19"/>
      <c r="C79" s="19" t="s">
        <v>27</v>
      </c>
      <c r="D79" s="20">
        <f>D36</f>
        <v>21.292404339115986</v>
      </c>
      <c r="E79" s="19" t="s">
        <v>81</v>
      </c>
      <c r="F79" s="19">
        <f>'Stream Table'!E2</f>
        <v>10</v>
      </c>
    </row>
    <row r="80" spans="1:21" x14ac:dyDescent="0.55000000000000004">
      <c r="B80" s="19"/>
      <c r="C80" s="19" t="s">
        <v>27</v>
      </c>
      <c r="D80" s="20">
        <f>D79-F79</f>
        <v>11.292404339115986</v>
      </c>
      <c r="E80" s="19" t="s">
        <v>46</v>
      </c>
      <c r="F80" s="19"/>
    </row>
    <row r="81" spans="1:21" x14ac:dyDescent="0.55000000000000004">
      <c r="A81" t="s">
        <v>44</v>
      </c>
      <c r="B81" s="23" t="s">
        <v>83</v>
      </c>
      <c r="C81" s="19" t="s">
        <v>27</v>
      </c>
      <c r="D81" s="19" t="s">
        <v>74</v>
      </c>
      <c r="E81" s="19" t="s">
        <v>81</v>
      </c>
      <c r="F81" s="19" t="s">
        <v>31</v>
      </c>
    </row>
    <row r="82" spans="1:21" x14ac:dyDescent="0.55000000000000004">
      <c r="B82" s="19"/>
      <c r="C82" s="19" t="s">
        <v>27</v>
      </c>
      <c r="D82" s="20">
        <f>E73</f>
        <v>26.292404339115986</v>
      </c>
      <c r="E82" s="19" t="s">
        <v>81</v>
      </c>
      <c r="F82" s="19">
        <f>'Stream Table'!P2</f>
        <v>27</v>
      </c>
    </row>
    <row r="83" spans="1:21" x14ac:dyDescent="0.55000000000000004">
      <c r="B83" s="19"/>
      <c r="C83" s="19" t="s">
        <v>27</v>
      </c>
      <c r="D83" s="20">
        <f>D82-F82</f>
        <v>-0.70759566088401371</v>
      </c>
      <c r="E83" s="19" t="s">
        <v>46</v>
      </c>
      <c r="F83" s="19"/>
    </row>
    <row r="84" spans="1:21" ht="14.7" thickBot="1" x14ac:dyDescent="0.6">
      <c r="B84" t="s">
        <v>76</v>
      </c>
      <c r="C84" t="s">
        <v>27</v>
      </c>
      <c r="D84" s="16">
        <f>'Stream Table'!D17</f>
        <v>791.66666666666663</v>
      </c>
      <c r="E84" s="32" t="s">
        <v>60</v>
      </c>
      <c r="F84" t="s">
        <v>27</v>
      </c>
      <c r="G84" s="16">
        <f>D84*1000</f>
        <v>791666.66666666663</v>
      </c>
      <c r="H84" s="32" t="s">
        <v>87</v>
      </c>
    </row>
    <row r="85" spans="1:21" x14ac:dyDescent="0.55000000000000004">
      <c r="D85" s="16"/>
      <c r="E85" t="s">
        <v>57</v>
      </c>
      <c r="H85" t="s">
        <v>57</v>
      </c>
    </row>
    <row r="86" spans="1:21" x14ac:dyDescent="0.55000000000000004">
      <c r="B86" t="s">
        <v>86</v>
      </c>
    </row>
    <row r="87" spans="1:21" x14ac:dyDescent="0.55000000000000004">
      <c r="B87" s="18" t="s">
        <v>39</v>
      </c>
      <c r="C87" s="20">
        <f>'Stream Table'!D17*10^3</f>
        <v>791666.66666666663</v>
      </c>
      <c r="D87" s="19" t="s">
        <v>28</v>
      </c>
      <c r="E87" s="19">
        <f>C4</f>
        <v>0.77</v>
      </c>
      <c r="F87" s="19" t="s">
        <v>28</v>
      </c>
      <c r="G87" s="20">
        <f>D80</f>
        <v>11.292404339115986</v>
      </c>
      <c r="H87" s="19" t="s">
        <v>29</v>
      </c>
      <c r="I87" s="19" t="str">
        <f>I76</f>
        <v xml:space="preserve">m (Cr. NaHCO3) </v>
      </c>
      <c r="J87" s="19" t="s">
        <v>28</v>
      </c>
      <c r="K87" s="19">
        <f>C5</f>
        <v>0.25</v>
      </c>
      <c r="L87" s="19" t="s">
        <v>28</v>
      </c>
      <c r="M87" s="20">
        <f>D83</f>
        <v>-0.70759566088401371</v>
      </c>
      <c r="N87" s="19" t="s">
        <v>29</v>
      </c>
      <c r="O87" s="19" t="str">
        <f>O76</f>
        <v>m (filtrate)</v>
      </c>
      <c r="P87" s="19" t="s">
        <v>28</v>
      </c>
      <c r="Q87" s="19">
        <f>C6</f>
        <v>0.81</v>
      </c>
      <c r="R87" s="19" t="s">
        <v>28</v>
      </c>
      <c r="S87" s="20">
        <f>D83</f>
        <v>-0.70759566088401371</v>
      </c>
      <c r="T87" s="19" t="s">
        <v>27</v>
      </c>
      <c r="U87" s="19">
        <f>0</f>
        <v>0</v>
      </c>
    </row>
    <row r="88" spans="1:21" x14ac:dyDescent="0.55000000000000004">
      <c r="B88" s="18" t="s">
        <v>39</v>
      </c>
      <c r="C88" s="20">
        <f>C87*E87*G87</f>
        <v>6883661.4783861209</v>
      </c>
      <c r="D88" s="19" t="s">
        <v>29</v>
      </c>
      <c r="E88" s="19" t="str">
        <f>I87</f>
        <v xml:space="preserve">m (Cr. NaHCO3) </v>
      </c>
      <c r="F88" s="19" t="s">
        <v>28</v>
      </c>
      <c r="G88" s="21">
        <f>K87*M87</f>
        <v>-0.17689891522100343</v>
      </c>
      <c r="H88" s="19" t="s">
        <v>29</v>
      </c>
      <c r="I88" s="19" t="str">
        <f>O87</f>
        <v>m (filtrate)</v>
      </c>
      <c r="J88" s="19" t="s">
        <v>28</v>
      </c>
      <c r="K88" s="21">
        <f>Q87*S87</f>
        <v>-0.57315248531605112</v>
      </c>
      <c r="L88" t="s">
        <v>27</v>
      </c>
      <c r="M88">
        <v>0</v>
      </c>
    </row>
    <row r="89" spans="1:21" x14ac:dyDescent="0.55000000000000004">
      <c r="B89" s="18" t="s">
        <v>39</v>
      </c>
      <c r="C89" s="20">
        <f>C88</f>
        <v>6883661.4783861209</v>
      </c>
      <c r="D89" s="19" t="s">
        <v>27</v>
      </c>
      <c r="E89" s="19" t="str">
        <f>E88</f>
        <v xml:space="preserve">m (Cr. NaHCO3) </v>
      </c>
      <c r="F89" s="19" t="s">
        <v>28</v>
      </c>
      <c r="G89" s="21">
        <f>-G88</f>
        <v>0.17689891522100343</v>
      </c>
      <c r="H89" s="19" t="s">
        <v>29</v>
      </c>
      <c r="I89" s="19" t="str">
        <f>I88</f>
        <v>m (filtrate)</v>
      </c>
      <c r="J89" s="19" t="s">
        <v>28</v>
      </c>
      <c r="K89" s="21">
        <f>-K88</f>
        <v>0.57315248531605112</v>
      </c>
    </row>
    <row r="90" spans="1:21" x14ac:dyDescent="0.55000000000000004">
      <c r="B90" s="18" t="s">
        <v>39</v>
      </c>
      <c r="C90" s="21">
        <f>G89</f>
        <v>0.17689891522100343</v>
      </c>
      <c r="D90" s="19" t="s">
        <v>28</v>
      </c>
      <c r="E90" s="19" t="str">
        <f>E89</f>
        <v xml:space="preserve">m (Cr. NaHCO3) </v>
      </c>
      <c r="F90" s="19" t="s">
        <v>29</v>
      </c>
      <c r="G90" s="21">
        <f>K89</f>
        <v>0.57315248531605112</v>
      </c>
      <c r="H90" s="19" t="s">
        <v>28</v>
      </c>
      <c r="I90" s="19" t="str">
        <f>I89</f>
        <v>m (filtrate)</v>
      </c>
      <c r="J90" s="19" t="s">
        <v>27</v>
      </c>
      <c r="K90" s="21">
        <f>C89</f>
        <v>6883661.4783861209</v>
      </c>
      <c r="L90" t="s">
        <v>97</v>
      </c>
    </row>
    <row r="91" spans="1:21" x14ac:dyDescent="0.55000000000000004">
      <c r="B91" s="18" t="s">
        <v>88</v>
      </c>
      <c r="C91" s="19"/>
      <c r="D91" s="19"/>
      <c r="E91" s="19"/>
      <c r="F91" s="19"/>
      <c r="G91" s="19"/>
      <c r="H91" s="19"/>
      <c r="I91" s="19"/>
      <c r="J91" s="19"/>
      <c r="K91" s="19"/>
    </row>
    <row r="92" spans="1:21" x14ac:dyDescent="0.55000000000000004">
      <c r="C92" s="19" t="s">
        <v>89</v>
      </c>
      <c r="D92" s="19" t="s">
        <v>29</v>
      </c>
      <c r="E92" s="19" t="s">
        <v>114</v>
      </c>
      <c r="F92" s="19" t="s">
        <v>27</v>
      </c>
      <c r="G92" s="20">
        <f>'Stream Table'!O17*(10^3)</f>
        <v>812058.63651772169</v>
      </c>
      <c r="H92" s="19" t="s">
        <v>115</v>
      </c>
      <c r="I92" s="19"/>
      <c r="J92" s="19"/>
      <c r="K92" s="19"/>
    </row>
    <row r="93" spans="1:21" x14ac:dyDescent="0.55000000000000004">
      <c r="B93" s="18" t="s">
        <v>39</v>
      </c>
      <c r="C93" s="19" t="str">
        <f>C92</f>
        <v>m (Cr.NaHCO3)</v>
      </c>
      <c r="D93" s="19" t="s">
        <v>27</v>
      </c>
      <c r="E93" s="20">
        <f>G92</f>
        <v>812058.63651772169</v>
      </c>
      <c r="F93" s="19" t="s">
        <v>81</v>
      </c>
      <c r="G93" s="19" t="str">
        <f>E92</f>
        <v>m (filtrate)</v>
      </c>
      <c r="H93" s="19"/>
      <c r="I93" s="19"/>
      <c r="J93" s="19"/>
      <c r="K93" s="19"/>
    </row>
    <row r="94" spans="1:21" x14ac:dyDescent="0.55000000000000004">
      <c r="B94" s="34" t="s">
        <v>91</v>
      </c>
      <c r="E94" s="33"/>
    </row>
    <row r="95" spans="1:21" x14ac:dyDescent="0.55000000000000004">
      <c r="C95" s="21">
        <f>C90*E93</f>
        <v>143652.29189583208</v>
      </c>
      <c r="D95" s="21" t="s">
        <v>81</v>
      </c>
      <c r="E95" s="20">
        <f>C90</f>
        <v>0.17689891522100343</v>
      </c>
      <c r="F95" s="19" t="s">
        <v>28</v>
      </c>
      <c r="G95" s="19" t="str">
        <f>G93</f>
        <v>m (filtrate)</v>
      </c>
      <c r="H95" s="19" t="s">
        <v>28</v>
      </c>
      <c r="I95" s="19">
        <v>1000</v>
      </c>
      <c r="J95" s="19" t="s">
        <v>29</v>
      </c>
      <c r="K95" s="21">
        <f>G90</f>
        <v>0.57315248531605112</v>
      </c>
      <c r="L95" s="19" t="s">
        <v>28</v>
      </c>
      <c r="M95" s="19">
        <v>1000</v>
      </c>
      <c r="N95" s="19" t="s">
        <v>28</v>
      </c>
      <c r="O95" s="19" t="str">
        <f>I90</f>
        <v>m (filtrate)</v>
      </c>
      <c r="P95" s="19" t="s">
        <v>27</v>
      </c>
      <c r="Q95" s="21">
        <f>K90</f>
        <v>6883661.4783861209</v>
      </c>
    </row>
    <row r="96" spans="1:21" x14ac:dyDescent="0.55000000000000004">
      <c r="C96" s="21"/>
      <c r="D96" s="21"/>
      <c r="E96" s="20"/>
      <c r="F96" s="19"/>
      <c r="G96" s="19"/>
      <c r="H96" s="19"/>
      <c r="I96" s="21"/>
      <c r="J96" s="19"/>
      <c r="K96" s="19"/>
      <c r="L96" s="19"/>
      <c r="M96" s="21"/>
    </row>
    <row r="97" spans="2:11" x14ac:dyDescent="0.55000000000000004">
      <c r="B97" s="18" t="s">
        <v>39</v>
      </c>
      <c r="C97" s="24">
        <f>K95*I95-E95*M95</f>
        <v>396.25357009504762</v>
      </c>
      <c r="D97" s="24" t="str">
        <f>G95</f>
        <v>m (filtrate)</v>
      </c>
      <c r="E97" s="19" t="s">
        <v>27</v>
      </c>
      <c r="F97" s="21">
        <f>Q95-C95</f>
        <v>6740009.1864902889</v>
      </c>
      <c r="G97" s="19"/>
      <c r="H97" s="19"/>
      <c r="I97" s="19"/>
      <c r="J97" s="19"/>
      <c r="K97" s="19"/>
    </row>
    <row r="98" spans="2:11" x14ac:dyDescent="0.55000000000000004">
      <c r="B98" s="18" t="s">
        <v>39</v>
      </c>
      <c r="C98" s="41" t="str">
        <f>D97</f>
        <v>m (filtrate)</v>
      </c>
      <c r="D98" s="41" t="s">
        <v>27</v>
      </c>
      <c r="E98" s="44">
        <f>F97/C97</f>
        <v>17009.333656914667</v>
      </c>
      <c r="F98" s="42" t="s">
        <v>115</v>
      </c>
      <c r="G98" s="19"/>
      <c r="H98" s="19"/>
      <c r="I98" s="19"/>
      <c r="J98" s="19"/>
      <c r="K98" s="19"/>
    </row>
    <row r="99" spans="2:11" x14ac:dyDescent="0.55000000000000004">
      <c r="C99" s="42"/>
      <c r="D99" s="43" t="s">
        <v>27</v>
      </c>
      <c r="E99" s="44">
        <f>E98/1000</f>
        <v>17.009333656914666</v>
      </c>
      <c r="F99" s="42" t="s">
        <v>90</v>
      </c>
      <c r="G99" s="16"/>
    </row>
    <row r="100" spans="2:11" x14ac:dyDescent="0.55000000000000004">
      <c r="C100" s="42"/>
      <c r="D100" s="43"/>
      <c r="E100" s="42"/>
      <c r="F100" s="42"/>
      <c r="G100" s="16"/>
    </row>
    <row r="101" spans="2:11" x14ac:dyDescent="0.55000000000000004">
      <c r="B101" s="18" t="s">
        <v>39</v>
      </c>
      <c r="C101" s="42" t="s">
        <v>89</v>
      </c>
      <c r="D101" s="42" t="s">
        <v>27</v>
      </c>
      <c r="E101" s="44">
        <f>G92-E98</f>
        <v>795049.30286080705</v>
      </c>
      <c r="F101" s="42" t="s">
        <v>115</v>
      </c>
    </row>
    <row r="102" spans="2:11" x14ac:dyDescent="0.55000000000000004">
      <c r="C102" s="42"/>
      <c r="D102" s="42" t="s">
        <v>27</v>
      </c>
      <c r="E102" s="44">
        <f>E101/1000</f>
        <v>795.04930286080707</v>
      </c>
      <c r="F102" s="42" t="s">
        <v>90</v>
      </c>
    </row>
  </sheetData>
  <mergeCells count="1">
    <mergeCell ref="A69:C7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3"/>
  <sheetViews>
    <sheetView topLeftCell="A16" workbookViewId="0">
      <selection activeCell="P12" sqref="P12"/>
    </sheetView>
  </sheetViews>
  <sheetFormatPr defaultRowHeight="14.4" x14ac:dyDescent="0.55000000000000004"/>
  <cols>
    <col min="6" max="6" width="11.68359375" bestFit="1" customWidth="1"/>
  </cols>
  <sheetData>
    <row r="2" spans="1:17" x14ac:dyDescent="0.55000000000000004">
      <c r="A2" s="35" t="s">
        <v>116</v>
      </c>
      <c r="E2" t="s">
        <v>117</v>
      </c>
      <c r="F2" t="s">
        <v>118</v>
      </c>
      <c r="G2" t="s">
        <v>119</v>
      </c>
      <c r="M2" s="36" t="s">
        <v>120</v>
      </c>
    </row>
    <row r="3" spans="1:17" x14ac:dyDescent="0.55000000000000004">
      <c r="D3" t="s">
        <v>121</v>
      </c>
      <c r="E3">
        <v>8.1076499999999996</v>
      </c>
      <c r="F3">
        <v>1750.2860000000001</v>
      </c>
      <c r="G3">
        <v>235</v>
      </c>
      <c r="I3" t="s">
        <v>122</v>
      </c>
      <c r="J3" t="s">
        <v>27</v>
      </c>
      <c r="K3" s="40">
        <f>'2'!D66</f>
        <v>43.729779515002896</v>
      </c>
      <c r="L3" t="s">
        <v>119</v>
      </c>
    </row>
    <row r="5" spans="1:17" x14ac:dyDescent="0.55000000000000004">
      <c r="D5" t="s">
        <v>123</v>
      </c>
      <c r="E5">
        <f>10^((E3-((F3)/(G3+K3))))</f>
        <v>67.319606780651839</v>
      </c>
      <c r="F5" t="s">
        <v>124</v>
      </c>
    </row>
    <row r="7" spans="1:17" x14ac:dyDescent="0.55000000000000004">
      <c r="D7" t="s">
        <v>21</v>
      </c>
      <c r="E7" t="s">
        <v>125</v>
      </c>
      <c r="F7">
        <v>2</v>
      </c>
      <c r="G7" t="s">
        <v>126</v>
      </c>
      <c r="H7" t="s">
        <v>125</v>
      </c>
      <c r="I7">
        <f>F7*750.0617</f>
        <v>1500.1233999999999</v>
      </c>
      <c r="J7" t="s">
        <v>124</v>
      </c>
    </row>
    <row r="9" spans="1:17" ht="16.8" x14ac:dyDescent="0.75">
      <c r="D9" t="s">
        <v>127</v>
      </c>
      <c r="E9" t="s">
        <v>125</v>
      </c>
      <c r="F9">
        <f>E5/I7</f>
        <v>4.4876046051046094E-2</v>
      </c>
    </row>
    <row r="11" spans="1:17" x14ac:dyDescent="0.55000000000000004">
      <c r="M11" t="s">
        <v>128</v>
      </c>
      <c r="O11" t="s">
        <v>125</v>
      </c>
      <c r="P11" s="37">
        <f>'Stream Table'!AA40</f>
        <v>0.40415629449694201</v>
      </c>
      <c r="Q11" t="s">
        <v>129</v>
      </c>
    </row>
    <row r="12" spans="1:17" x14ac:dyDescent="0.55000000000000004">
      <c r="F12" t="s">
        <v>130</v>
      </c>
      <c r="G12" t="s">
        <v>125</v>
      </c>
      <c r="H12">
        <f>(((E20)*(F9))+((F9)*(E19)))/(1-F9)</f>
        <v>4.7482911382133279E-3</v>
      </c>
      <c r="I12" s="37" t="s">
        <v>129</v>
      </c>
      <c r="M12" t="s">
        <v>131</v>
      </c>
      <c r="O12" t="s">
        <v>125</v>
      </c>
      <c r="P12">
        <f>(P11*12)/88</f>
        <v>5.5112221976855731E-2</v>
      </c>
      <c r="Q12" t="s">
        <v>129</v>
      </c>
    </row>
    <row r="13" spans="1:17" x14ac:dyDescent="0.55000000000000004">
      <c r="M13" t="s">
        <v>132</v>
      </c>
      <c r="O13" t="s">
        <v>125</v>
      </c>
      <c r="P13">
        <f>(P12)*(21/100)</f>
        <v>1.1573566615139703E-2</v>
      </c>
      <c r="Q13" t="s">
        <v>133</v>
      </c>
    </row>
    <row r="14" spans="1:17" x14ac:dyDescent="0.55000000000000004">
      <c r="F14" t="s">
        <v>134</v>
      </c>
      <c r="G14" t="s">
        <v>125</v>
      </c>
      <c r="H14" s="38">
        <f>I23*3600</f>
        <v>308.03114271817503</v>
      </c>
      <c r="I14" s="38" t="s">
        <v>135</v>
      </c>
      <c r="M14" t="s">
        <v>136</v>
      </c>
      <c r="O14" t="s">
        <v>125</v>
      </c>
      <c r="P14">
        <f>(P12)*(79/100)</f>
        <v>4.3538655361716028E-2</v>
      </c>
      <c r="Q14" t="s">
        <v>133</v>
      </c>
    </row>
    <row r="16" spans="1:17" x14ac:dyDescent="0.55000000000000004">
      <c r="M16" s="36" t="s">
        <v>137</v>
      </c>
    </row>
    <row r="17" spans="2:17" x14ac:dyDescent="0.55000000000000004">
      <c r="G17" s="39"/>
      <c r="M17" t="s">
        <v>138</v>
      </c>
      <c r="O17" t="s">
        <v>125</v>
      </c>
      <c r="P17">
        <f>(P12)-((P12)*(0.1))</f>
        <v>4.9600999779170159E-2</v>
      </c>
      <c r="Q17" t="s">
        <v>133</v>
      </c>
    </row>
    <row r="18" spans="2:17" x14ac:dyDescent="0.55000000000000004">
      <c r="B18" s="36" t="s">
        <v>139</v>
      </c>
      <c r="G18" t="s">
        <v>140</v>
      </c>
      <c r="K18" t="s">
        <v>141</v>
      </c>
      <c r="M18" t="s">
        <v>132</v>
      </c>
      <c r="O18" t="s">
        <v>125</v>
      </c>
      <c r="P18">
        <f>(21/100)*P17</f>
        <v>1.0416209953625733E-2</v>
      </c>
      <c r="Q18" t="s">
        <v>133</v>
      </c>
    </row>
    <row r="19" spans="2:17" x14ac:dyDescent="0.55000000000000004">
      <c r="B19" t="s">
        <v>3</v>
      </c>
      <c r="D19" t="s">
        <v>125</v>
      </c>
      <c r="E19" s="37">
        <f>'Stream Table'!I40</f>
        <v>5.1459744326322922E-2</v>
      </c>
      <c r="F19" t="s">
        <v>129</v>
      </c>
      <c r="G19">
        <f>(E19)/(E19+E21+E22+E23)</f>
        <v>0.48634546386135558</v>
      </c>
      <c r="H19" t="s">
        <v>125</v>
      </c>
      <c r="I19">
        <f>(0.044)*E19*1000</f>
        <v>2.2642287503582086</v>
      </c>
      <c r="J19" t="s">
        <v>90</v>
      </c>
      <c r="K19">
        <f>(I19)/(I19+I21+I22+I23)</f>
        <v>0.59895703022455171</v>
      </c>
      <c r="M19" t="s">
        <v>142</v>
      </c>
      <c r="O19" t="s">
        <v>125</v>
      </c>
      <c r="P19">
        <f>(79/100)*P17</f>
        <v>3.9184789825544429E-2</v>
      </c>
      <c r="Q19" t="s">
        <v>133</v>
      </c>
    </row>
    <row r="20" spans="2:17" x14ac:dyDescent="0.55000000000000004">
      <c r="B20" t="s">
        <v>143</v>
      </c>
      <c r="D20" t="s">
        <v>125</v>
      </c>
      <c r="E20">
        <f>P17</f>
        <v>4.9600999779170159E-2</v>
      </c>
      <c r="F20" t="s">
        <v>129</v>
      </c>
      <c r="G20" t="s">
        <v>144</v>
      </c>
      <c r="H20" t="s">
        <v>125</v>
      </c>
      <c r="I20">
        <f>I21+I23</f>
        <v>0.41888292482662765</v>
      </c>
      <c r="J20" t="s">
        <v>90</v>
      </c>
      <c r="K20" t="s">
        <v>145</v>
      </c>
    </row>
    <row r="21" spans="2:17" x14ac:dyDescent="0.55000000000000004">
      <c r="B21" t="s">
        <v>146</v>
      </c>
      <c r="D21" t="s">
        <v>125</v>
      </c>
      <c r="E21">
        <f>P18</f>
        <v>1.0416209953625733E-2</v>
      </c>
      <c r="F21" t="s">
        <v>129</v>
      </c>
      <c r="G21">
        <f>(E21)/(E19+E21+E22+E23)</f>
        <v>9.8443482918395608E-2</v>
      </c>
      <c r="H21" t="s">
        <v>125</v>
      </c>
      <c r="I21">
        <f>(0.032)*E21*1000</f>
        <v>0.33331871851602346</v>
      </c>
      <c r="J21" t="s">
        <v>90</v>
      </c>
      <c r="K21">
        <f>(I21)/(I19+I21+I22+I23)</f>
        <v>8.8172888772402716E-2</v>
      </c>
    </row>
    <row r="22" spans="2:17" x14ac:dyDescent="0.55000000000000004">
      <c r="B22" t="s">
        <v>1</v>
      </c>
      <c r="D22" t="s">
        <v>125</v>
      </c>
      <c r="E22">
        <f>P19</f>
        <v>3.9184789825544429E-2</v>
      </c>
      <c r="F22" t="s">
        <v>129</v>
      </c>
      <c r="G22">
        <f>(E22)/(E19+E21+E22+E23)</f>
        <v>0.37033500716920259</v>
      </c>
      <c r="H22" t="s">
        <v>125</v>
      </c>
      <c r="I22">
        <f>(0.028)*E22*1000</f>
        <v>1.0971741151152439</v>
      </c>
      <c r="J22" t="s">
        <v>90</v>
      </c>
      <c r="K22">
        <f>(I22)/(I19+I21+I22+I23)</f>
        <v>0.29023575887582559</v>
      </c>
    </row>
    <row r="23" spans="2:17" x14ac:dyDescent="0.55000000000000004">
      <c r="B23" t="s">
        <v>121</v>
      </c>
      <c r="D23" t="s">
        <v>125</v>
      </c>
      <c r="E23">
        <f>H12</f>
        <v>4.7482911382133279E-3</v>
      </c>
      <c r="F23" t="s">
        <v>129</v>
      </c>
      <c r="G23">
        <f>(E23)/(E19+E21+E22+E23)</f>
        <v>4.4876046051046087E-2</v>
      </c>
      <c r="H23" t="s">
        <v>125</v>
      </c>
      <c r="I23">
        <f>(0.01802)*E23*1000</f>
        <v>8.5564206310604171E-2</v>
      </c>
      <c r="J23" t="s">
        <v>90</v>
      </c>
      <c r="K23">
        <f>(I23)/(I19+I21+I22+I23)</f>
        <v>2.2634322127219927E-2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59"/>
  <sheetViews>
    <sheetView zoomScaleNormal="100" workbookViewId="0">
      <selection activeCell="D59" sqref="D59"/>
    </sheetView>
  </sheetViews>
  <sheetFormatPr defaultRowHeight="14.4" x14ac:dyDescent="0.55000000000000004"/>
  <cols>
    <col min="2" max="2" width="21" customWidth="1"/>
    <col min="4" max="4" width="17.41796875" bestFit="1" customWidth="1"/>
    <col min="6" max="6" width="12.89453125" bestFit="1" customWidth="1"/>
    <col min="9" max="9" width="12.89453125" bestFit="1" customWidth="1"/>
    <col min="10" max="10" width="8.68359375" customWidth="1"/>
  </cols>
  <sheetData>
    <row r="2" spans="1:11" x14ac:dyDescent="0.55000000000000004">
      <c r="A2" s="36" t="s">
        <v>160</v>
      </c>
    </row>
    <row r="3" spans="1:11" x14ac:dyDescent="0.55000000000000004">
      <c r="E3" t="s">
        <v>161</v>
      </c>
    </row>
    <row r="4" spans="1:11" x14ac:dyDescent="0.55000000000000004">
      <c r="I4" t="s">
        <v>24</v>
      </c>
    </row>
    <row r="5" spans="1:11" x14ac:dyDescent="0.55000000000000004">
      <c r="I5" t="s">
        <v>25</v>
      </c>
      <c r="J5">
        <v>0.77</v>
      </c>
      <c r="K5" t="s">
        <v>26</v>
      </c>
    </row>
    <row r="6" spans="1:11" x14ac:dyDescent="0.55000000000000004">
      <c r="I6" t="s">
        <v>8</v>
      </c>
      <c r="J6">
        <v>0.25</v>
      </c>
      <c r="K6" t="s">
        <v>26</v>
      </c>
    </row>
    <row r="7" spans="1:11" x14ac:dyDescent="0.55000000000000004">
      <c r="I7" t="s">
        <v>9</v>
      </c>
      <c r="J7">
        <v>0.81</v>
      </c>
      <c r="K7" t="s">
        <v>26</v>
      </c>
    </row>
    <row r="18" spans="1:13" x14ac:dyDescent="0.55000000000000004">
      <c r="B18" t="s">
        <v>147</v>
      </c>
    </row>
    <row r="20" spans="1:13" ht="14.7" thickBot="1" x14ac:dyDescent="0.6">
      <c r="B20" s="23" t="s">
        <v>148</v>
      </c>
      <c r="C20" s="19" t="s">
        <v>27</v>
      </c>
      <c r="D20" s="53" t="s">
        <v>151</v>
      </c>
      <c r="E20" s="53" t="s">
        <v>149</v>
      </c>
      <c r="F20" s="53" t="s">
        <v>152</v>
      </c>
      <c r="G20" s="17" t="s">
        <v>27</v>
      </c>
      <c r="H20" s="54">
        <f>'Stream Table'!M36</f>
        <v>0.98281830501250345</v>
      </c>
      <c r="I20" s="55" t="s">
        <v>81</v>
      </c>
      <c r="J20" s="54">
        <f>'Stream Table'!H36</f>
        <v>5.6542907138690819E-2</v>
      </c>
      <c r="K20" t="s">
        <v>27</v>
      </c>
      <c r="L20" s="52">
        <f>(H20-J20)/I21</f>
        <v>0.46313769893690632</v>
      </c>
      <c r="M20" t="s">
        <v>129</v>
      </c>
    </row>
    <row r="21" spans="1:13" x14ac:dyDescent="0.55000000000000004">
      <c r="D21" s="19"/>
      <c r="E21" s="23" t="s">
        <v>150</v>
      </c>
      <c r="F21" s="19"/>
      <c r="H21" s="19"/>
      <c r="I21" s="19">
        <v>2</v>
      </c>
      <c r="J21" s="19"/>
    </row>
    <row r="23" spans="1:13" x14ac:dyDescent="0.55000000000000004">
      <c r="B23" s="19" t="s">
        <v>153</v>
      </c>
      <c r="C23" s="19" t="s">
        <v>27</v>
      </c>
      <c r="D23" s="19">
        <f>6.61</f>
        <v>6.61</v>
      </c>
      <c r="E23" s="19" t="s">
        <v>108</v>
      </c>
      <c r="F23" s="19"/>
      <c r="G23" s="19"/>
      <c r="H23" s="19"/>
      <c r="I23" s="19"/>
      <c r="J23" s="19"/>
      <c r="K23" s="19"/>
    </row>
    <row r="24" spans="1:13" ht="14.7" thickBot="1" x14ac:dyDescent="0.6">
      <c r="A24" t="s">
        <v>44</v>
      </c>
      <c r="B24" s="19" t="s">
        <v>154</v>
      </c>
      <c r="C24" s="19" t="s">
        <v>27</v>
      </c>
      <c r="D24" s="59">
        <v>6.61</v>
      </c>
      <c r="E24" s="57" t="s">
        <v>109</v>
      </c>
      <c r="F24" s="19" t="s">
        <v>28</v>
      </c>
      <c r="G24" s="59">
        <v>463.1</v>
      </c>
      <c r="H24" s="57" t="s">
        <v>110</v>
      </c>
      <c r="I24" s="19" t="s">
        <v>27</v>
      </c>
      <c r="J24" s="19">
        <f>D24*G24</f>
        <v>3061.0910000000003</v>
      </c>
      <c r="K24" s="19" t="s">
        <v>155</v>
      </c>
    </row>
    <row r="25" spans="1:13" ht="14.7" thickTop="1" x14ac:dyDescent="0.55000000000000004">
      <c r="B25" s="19"/>
      <c r="C25" s="19"/>
      <c r="D25" s="60"/>
      <c r="E25" s="58" t="s">
        <v>110</v>
      </c>
      <c r="F25" s="19"/>
      <c r="G25" s="60"/>
      <c r="H25" s="58" t="s">
        <v>57</v>
      </c>
      <c r="I25" s="19"/>
      <c r="J25" s="19"/>
      <c r="K25" s="19"/>
    </row>
    <row r="26" spans="1:13" x14ac:dyDescent="0.55000000000000004">
      <c r="B26" t="s">
        <v>156</v>
      </c>
    </row>
    <row r="27" spans="1:13" x14ac:dyDescent="0.55000000000000004">
      <c r="B27" s="56" t="s">
        <v>157</v>
      </c>
      <c r="C27" t="s">
        <v>27</v>
      </c>
      <c r="D27" s="16" t="s">
        <v>158</v>
      </c>
      <c r="E27" s="19" t="s">
        <v>81</v>
      </c>
      <c r="F27" t="s">
        <v>159</v>
      </c>
    </row>
    <row r="28" spans="1:13" x14ac:dyDescent="0.55000000000000004">
      <c r="C28" s="19" t="s">
        <v>27</v>
      </c>
      <c r="D28" s="16">
        <f>'Stream Table'!M8</f>
        <v>64.35528401585205</v>
      </c>
      <c r="E28" s="19" t="s">
        <v>149</v>
      </c>
      <c r="F28">
        <f>'Stream Table'!H8</f>
        <v>0</v>
      </c>
    </row>
    <row r="29" spans="1:13" x14ac:dyDescent="0.55000000000000004">
      <c r="C29" s="19" t="s">
        <v>27</v>
      </c>
      <c r="D29" s="16">
        <f>D28-F28</f>
        <v>64.35528401585205</v>
      </c>
      <c r="E29" s="19" t="s">
        <v>90</v>
      </c>
    </row>
    <row r="30" spans="1:13" x14ac:dyDescent="0.55000000000000004">
      <c r="C30" s="19" t="s">
        <v>27</v>
      </c>
      <c r="D30" s="16">
        <f>D29*1000</f>
        <v>64355.284015852048</v>
      </c>
      <c r="E30" s="19" t="s">
        <v>115</v>
      </c>
    </row>
    <row r="31" spans="1:13" x14ac:dyDescent="0.55000000000000004">
      <c r="C31" s="19" t="s">
        <v>163</v>
      </c>
    </row>
    <row r="32" spans="1:13" x14ac:dyDescent="0.55000000000000004">
      <c r="B32" s="19" t="s">
        <v>162</v>
      </c>
      <c r="C32" s="19" t="s">
        <v>125</v>
      </c>
      <c r="D32" s="15">
        <f>'2'!K9</f>
        <v>48.805456688133127</v>
      </c>
      <c r="E32" s="19" t="s">
        <v>34</v>
      </c>
    </row>
    <row r="33" spans="2:17" ht="14.7" thickBot="1" x14ac:dyDescent="0.6">
      <c r="B33" s="19" t="s">
        <v>164</v>
      </c>
      <c r="C33" s="19" t="s">
        <v>125</v>
      </c>
      <c r="D33" s="67">
        <f>D32</f>
        <v>48.805456688133127</v>
      </c>
      <c r="E33" s="57" t="s">
        <v>165</v>
      </c>
      <c r="F33" s="19" t="s">
        <v>166</v>
      </c>
      <c r="G33" s="29">
        <f>D30</f>
        <v>64355.284015852048</v>
      </c>
      <c r="H33" s="57" t="s">
        <v>87</v>
      </c>
      <c r="I33" s="19" t="s">
        <v>167</v>
      </c>
      <c r="J33" s="28">
        <v>1</v>
      </c>
      <c r="K33" s="57" t="s">
        <v>109</v>
      </c>
      <c r="L33" s="19" t="s">
        <v>125</v>
      </c>
      <c r="M33">
        <f>(D33*G33)/J34</f>
        <v>3140.8890266881735</v>
      </c>
      <c r="N33" s="19" t="s">
        <v>155</v>
      </c>
    </row>
    <row r="34" spans="2:17" ht="14.7" thickTop="1" x14ac:dyDescent="0.55000000000000004">
      <c r="D34" s="26"/>
      <c r="E34" s="58" t="s">
        <v>87</v>
      </c>
      <c r="G34" s="26"/>
      <c r="H34" s="58" t="s">
        <v>57</v>
      </c>
      <c r="J34" s="26">
        <v>1000</v>
      </c>
      <c r="K34" s="58" t="s">
        <v>93</v>
      </c>
    </row>
    <row r="39" spans="2:17" x14ac:dyDescent="0.55000000000000004">
      <c r="B39" s="19" t="s">
        <v>171</v>
      </c>
      <c r="C39" s="19" t="s">
        <v>170</v>
      </c>
      <c r="D39">
        <f>'Stream Table'!M2</f>
        <v>60</v>
      </c>
      <c r="E39" s="61" t="s">
        <v>172</v>
      </c>
    </row>
    <row r="40" spans="2:17" x14ac:dyDescent="0.55000000000000004">
      <c r="B40" s="20" t="s">
        <v>158</v>
      </c>
      <c r="C40" s="19" t="s">
        <v>125</v>
      </c>
      <c r="D40" s="16">
        <f>D30</f>
        <v>64355.284015852048</v>
      </c>
      <c r="E40" s="61" t="s">
        <v>115</v>
      </c>
    </row>
    <row r="41" spans="2:17" x14ac:dyDescent="0.55000000000000004">
      <c r="B41" s="19" t="s">
        <v>169</v>
      </c>
      <c r="C41" s="19" t="s">
        <v>170</v>
      </c>
      <c r="D41">
        <f>J6</f>
        <v>0.25</v>
      </c>
      <c r="E41" t="s">
        <v>26</v>
      </c>
    </row>
    <row r="42" spans="2:17" ht="14.7" thickBot="1" x14ac:dyDescent="0.6">
      <c r="B42" s="19" t="s">
        <v>173</v>
      </c>
      <c r="C42" s="19" t="s">
        <v>170</v>
      </c>
      <c r="D42" s="29">
        <f>D40</f>
        <v>64355.284015852048</v>
      </c>
      <c r="E42" s="57" t="s">
        <v>87</v>
      </c>
      <c r="F42" s="19" t="s">
        <v>167</v>
      </c>
      <c r="G42" s="28">
        <f>D41</f>
        <v>0.25</v>
      </c>
      <c r="H42" s="57" t="s">
        <v>93</v>
      </c>
      <c r="I42" s="19" t="s">
        <v>166</v>
      </c>
      <c r="J42" s="28">
        <f>D39</f>
        <v>60</v>
      </c>
      <c r="K42" s="57" t="s">
        <v>46</v>
      </c>
      <c r="L42" s="19" t="s">
        <v>166</v>
      </c>
      <c r="M42" s="28">
        <v>1</v>
      </c>
      <c r="N42" s="57" t="s">
        <v>109</v>
      </c>
      <c r="O42" s="19" t="s">
        <v>125</v>
      </c>
      <c r="P42">
        <f>(D42*G42*J42)/M43</f>
        <v>965.32926023778077</v>
      </c>
      <c r="Q42" s="19" t="s">
        <v>155</v>
      </c>
    </row>
    <row r="43" spans="2:17" ht="14.7" thickTop="1" x14ac:dyDescent="0.55000000000000004">
      <c r="D43" s="26"/>
      <c r="E43" s="58" t="s">
        <v>57</v>
      </c>
      <c r="G43" s="26"/>
      <c r="H43" s="58" t="s">
        <v>174</v>
      </c>
      <c r="J43" s="26"/>
      <c r="K43" s="62"/>
      <c r="M43" s="26">
        <v>1000</v>
      </c>
      <c r="N43" s="58" t="s">
        <v>93</v>
      </c>
    </row>
    <row r="44" spans="2:17" x14ac:dyDescent="0.55000000000000004">
      <c r="B44" s="19" t="s">
        <v>175</v>
      </c>
      <c r="C44" s="19" t="s">
        <v>170</v>
      </c>
      <c r="D44" s="16">
        <f>('Stream Table'!M17-'Stream Table'!M8)*1000</f>
        <v>747696.96985105495</v>
      </c>
      <c r="E44" s="61" t="s">
        <v>115</v>
      </c>
    </row>
    <row r="45" spans="2:17" x14ac:dyDescent="0.55000000000000004">
      <c r="B45" s="19" t="s">
        <v>176</v>
      </c>
      <c r="C45" s="19" t="s">
        <v>170</v>
      </c>
      <c r="D45">
        <f>J7</f>
        <v>0.81</v>
      </c>
      <c r="E45" s="61" t="s">
        <v>26</v>
      </c>
    </row>
    <row r="46" spans="2:17" ht="14.7" thickBot="1" x14ac:dyDescent="0.6">
      <c r="B46" s="19" t="s">
        <v>177</v>
      </c>
      <c r="C46" s="19" t="s">
        <v>170</v>
      </c>
      <c r="D46" s="29">
        <f>D44</f>
        <v>747696.96985105495</v>
      </c>
      <c r="E46" s="63" t="s">
        <v>87</v>
      </c>
      <c r="F46" s="61" t="s">
        <v>167</v>
      </c>
      <c r="G46" s="28">
        <f>D45</f>
        <v>0.81</v>
      </c>
      <c r="H46" s="63" t="s">
        <v>93</v>
      </c>
      <c r="I46" s="61" t="s">
        <v>28</v>
      </c>
      <c r="J46" s="28">
        <f>D39</f>
        <v>60</v>
      </c>
      <c r="K46" s="63" t="s">
        <v>46</v>
      </c>
      <c r="L46" s="61" t="s">
        <v>166</v>
      </c>
      <c r="M46" s="28">
        <v>1</v>
      </c>
      <c r="N46" s="63" t="s">
        <v>109</v>
      </c>
      <c r="O46" s="19" t="s">
        <v>170</v>
      </c>
      <c r="P46">
        <f>(D46*G46*J46)/M47</f>
        <v>36338.07273476127</v>
      </c>
      <c r="Q46" s="19" t="s">
        <v>155</v>
      </c>
    </row>
    <row r="47" spans="2:17" ht="14.7" thickTop="1" x14ac:dyDescent="0.55000000000000004">
      <c r="D47" s="26"/>
      <c r="E47" s="64" t="s">
        <v>57</v>
      </c>
      <c r="G47" s="26"/>
      <c r="H47" s="64" t="s">
        <v>174</v>
      </c>
      <c r="J47" s="26"/>
      <c r="K47" s="62"/>
      <c r="M47" s="26">
        <v>1000</v>
      </c>
      <c r="N47" s="64" t="s">
        <v>93</v>
      </c>
    </row>
    <row r="48" spans="2:17" x14ac:dyDescent="0.55000000000000004">
      <c r="B48" s="19" t="s">
        <v>168</v>
      </c>
      <c r="C48" s="19" t="s">
        <v>170</v>
      </c>
      <c r="D48">
        <f>P42+P46</f>
        <v>37303.401994999054</v>
      </c>
      <c r="E48" s="61" t="s">
        <v>155</v>
      </c>
    </row>
    <row r="52" spans="2:17" x14ac:dyDescent="0.55000000000000004">
      <c r="B52" s="19" t="s">
        <v>180</v>
      </c>
      <c r="C52" s="19" t="s">
        <v>170</v>
      </c>
      <c r="D52" s="16">
        <f>'Stream Table'!H2</f>
        <v>43.729779515002896</v>
      </c>
      <c r="E52" s="19" t="s">
        <v>46</v>
      </c>
    </row>
    <row r="53" spans="2:17" x14ac:dyDescent="0.55000000000000004">
      <c r="B53" s="19" t="s">
        <v>178</v>
      </c>
      <c r="C53" s="19" t="s">
        <v>170</v>
      </c>
      <c r="D53" s="16">
        <f>'Stream Table'!H17*1000</f>
        <v>791666.66666666663</v>
      </c>
      <c r="E53" s="19" t="s">
        <v>115</v>
      </c>
    </row>
    <row r="54" spans="2:17" x14ac:dyDescent="0.55000000000000004">
      <c r="B54" s="19" t="s">
        <v>179</v>
      </c>
      <c r="C54" s="19" t="s">
        <v>170</v>
      </c>
      <c r="D54">
        <f>J5</f>
        <v>0.77</v>
      </c>
      <c r="E54" s="19" t="s">
        <v>26</v>
      </c>
    </row>
    <row r="56" spans="2:17" ht="14.7" thickBot="1" x14ac:dyDescent="0.6">
      <c r="B56" s="19" t="s">
        <v>181</v>
      </c>
      <c r="C56" s="19" t="s">
        <v>170</v>
      </c>
      <c r="D56" s="29">
        <f>D53</f>
        <v>791666.66666666663</v>
      </c>
      <c r="E56" s="57" t="s">
        <v>87</v>
      </c>
      <c r="F56" s="19" t="s">
        <v>28</v>
      </c>
      <c r="G56" s="28">
        <f>D54</f>
        <v>0.77</v>
      </c>
      <c r="H56" s="57" t="s">
        <v>93</v>
      </c>
      <c r="I56" s="19" t="s">
        <v>28</v>
      </c>
      <c r="J56" s="29">
        <f>D52</f>
        <v>43.729779515002896</v>
      </c>
      <c r="K56" s="57" t="s">
        <v>46</v>
      </c>
      <c r="L56" s="19" t="s">
        <v>28</v>
      </c>
      <c r="M56" s="28">
        <v>1</v>
      </c>
      <c r="N56" s="57" t="s">
        <v>109</v>
      </c>
      <c r="O56" s="19" t="s">
        <v>170</v>
      </c>
      <c r="P56">
        <f>(D56*G56*J56)/M57</f>
        <v>26656.944762687184</v>
      </c>
      <c r="Q56" s="19" t="s">
        <v>155</v>
      </c>
    </row>
    <row r="57" spans="2:17" ht="14.7" thickTop="1" x14ac:dyDescent="0.55000000000000004">
      <c r="D57" s="26"/>
      <c r="E57" s="58" t="s">
        <v>57</v>
      </c>
      <c r="G57" s="26"/>
      <c r="H57" s="58" t="s">
        <v>174</v>
      </c>
      <c r="J57" s="26"/>
      <c r="K57" s="62"/>
      <c r="M57" s="26">
        <v>1000</v>
      </c>
      <c r="N57" s="58" t="s">
        <v>93</v>
      </c>
    </row>
    <row r="59" spans="2:17" x14ac:dyDescent="0.55000000000000004">
      <c r="B59" s="70" t="s">
        <v>182</v>
      </c>
      <c r="C59" s="70" t="s">
        <v>170</v>
      </c>
      <c r="D59" s="78">
        <f>J24+M33+D48-P56</f>
        <v>16848.437259000042</v>
      </c>
      <c r="E59" s="72" t="s">
        <v>155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98"/>
  <sheetViews>
    <sheetView topLeftCell="A25" workbookViewId="0">
      <selection activeCell="F87" sqref="F87"/>
    </sheetView>
  </sheetViews>
  <sheetFormatPr defaultRowHeight="14.4" x14ac:dyDescent="0.55000000000000004"/>
  <cols>
    <col min="2" max="2" width="19.3125" customWidth="1"/>
    <col min="4" max="4" width="17.41796875" bestFit="1" customWidth="1"/>
    <col min="6" max="6" width="15.68359375" bestFit="1" customWidth="1"/>
  </cols>
  <sheetData>
    <row r="2" spans="1:13" x14ac:dyDescent="0.55000000000000004">
      <c r="A2" s="36" t="s">
        <v>183</v>
      </c>
    </row>
    <row r="3" spans="1:13" x14ac:dyDescent="0.55000000000000004">
      <c r="E3" t="s">
        <v>184</v>
      </c>
    </row>
    <row r="14" spans="1:13" x14ac:dyDescent="0.55000000000000004">
      <c r="B14" t="s">
        <v>147</v>
      </c>
    </row>
    <row r="16" spans="1:13" ht="14.7" thickBot="1" x14ac:dyDescent="0.6">
      <c r="B16" s="23" t="s">
        <v>148</v>
      </c>
      <c r="C16" s="19" t="s">
        <v>27</v>
      </c>
      <c r="D16" s="53" t="s">
        <v>151</v>
      </c>
      <c r="E16" s="53" t="s">
        <v>149</v>
      </c>
      <c r="F16" s="53" t="s">
        <v>152</v>
      </c>
      <c r="G16" s="17" t="s">
        <v>27</v>
      </c>
      <c r="H16" s="54">
        <f>'Stream Table'!M36</f>
        <v>0.98281830501250345</v>
      </c>
      <c r="I16" s="55" t="s">
        <v>81</v>
      </c>
      <c r="J16" s="54">
        <f>'Stream Table'!L36</f>
        <v>0.54541047823875854</v>
      </c>
      <c r="K16" t="s">
        <v>27</v>
      </c>
      <c r="L16" s="52">
        <f>(H16-J16)/I17</f>
        <v>0.21870391338687245</v>
      </c>
      <c r="M16" t="s">
        <v>129</v>
      </c>
    </row>
    <row r="17" spans="1:14" x14ac:dyDescent="0.55000000000000004">
      <c r="D17" s="19"/>
      <c r="E17" s="23" t="s">
        <v>150</v>
      </c>
      <c r="F17" s="19"/>
      <c r="H17" s="19"/>
      <c r="I17" s="19">
        <v>2</v>
      </c>
      <c r="J17" s="19"/>
    </row>
    <row r="19" spans="1:14" x14ac:dyDescent="0.55000000000000004">
      <c r="B19" s="19" t="s">
        <v>153</v>
      </c>
      <c r="C19" s="19" t="s">
        <v>27</v>
      </c>
      <c r="D19" s="19">
        <f>6.61</f>
        <v>6.61</v>
      </c>
      <c r="E19" s="19" t="s">
        <v>108</v>
      </c>
      <c r="F19" s="19"/>
      <c r="G19" s="19"/>
      <c r="H19" s="19"/>
      <c r="I19" s="19"/>
      <c r="J19" s="19"/>
      <c r="K19" s="19"/>
    </row>
    <row r="20" spans="1:14" ht="14.7" thickBot="1" x14ac:dyDescent="0.6">
      <c r="A20" t="s">
        <v>44</v>
      </c>
      <c r="B20" s="19" t="s">
        <v>154</v>
      </c>
      <c r="C20" s="19" t="s">
        <v>27</v>
      </c>
      <c r="D20" s="59">
        <v>6.61</v>
      </c>
      <c r="E20" s="57" t="s">
        <v>109</v>
      </c>
      <c r="F20" s="19" t="s">
        <v>28</v>
      </c>
      <c r="G20" s="59">
        <f>L16*1000</f>
        <v>218.70391338687244</v>
      </c>
      <c r="H20" s="57" t="s">
        <v>110</v>
      </c>
      <c r="I20" s="19" t="s">
        <v>27</v>
      </c>
      <c r="J20" s="19">
        <f>D20*G20</f>
        <v>1445.632867487227</v>
      </c>
      <c r="K20" s="19" t="s">
        <v>155</v>
      </c>
    </row>
    <row r="21" spans="1:14" ht="14.7" thickTop="1" x14ac:dyDescent="0.55000000000000004">
      <c r="B21" s="19"/>
      <c r="C21" s="19"/>
      <c r="D21" s="60"/>
      <c r="E21" s="58" t="s">
        <v>110</v>
      </c>
      <c r="F21" s="19"/>
      <c r="G21" s="60"/>
      <c r="H21" s="58" t="s">
        <v>57</v>
      </c>
      <c r="I21" s="19"/>
      <c r="J21" s="19"/>
      <c r="K21" s="19"/>
    </row>
    <row r="22" spans="1:14" x14ac:dyDescent="0.55000000000000004">
      <c r="B22" t="s">
        <v>195</v>
      </c>
    </row>
    <row r="23" spans="1:14" x14ac:dyDescent="0.55000000000000004">
      <c r="B23" s="56" t="s">
        <v>157</v>
      </c>
      <c r="C23" t="s">
        <v>27</v>
      </c>
      <c r="D23" s="16" t="s">
        <v>158</v>
      </c>
      <c r="E23" s="19" t="s">
        <v>81</v>
      </c>
      <c r="F23" t="s">
        <v>185</v>
      </c>
    </row>
    <row r="24" spans="1:14" x14ac:dyDescent="0.55000000000000004">
      <c r="C24" s="19" t="s">
        <v>27</v>
      </c>
      <c r="D24" s="16">
        <f>'Stream Table'!M8</f>
        <v>64.35528401585205</v>
      </c>
      <c r="E24" s="19" t="s">
        <v>149</v>
      </c>
      <c r="F24" s="16">
        <f>'Stream Table'!L8</f>
        <v>27.608298045403394</v>
      </c>
    </row>
    <row r="25" spans="1:14" x14ac:dyDescent="0.55000000000000004">
      <c r="C25" s="19" t="s">
        <v>27</v>
      </c>
      <c r="D25" s="16">
        <f>D24-F24</f>
        <v>36.746985970448655</v>
      </c>
      <c r="E25" s="19" t="s">
        <v>90</v>
      </c>
    </row>
    <row r="26" spans="1:14" x14ac:dyDescent="0.55000000000000004">
      <c r="C26" s="19" t="s">
        <v>27</v>
      </c>
      <c r="D26" s="16">
        <f>D25*1000</f>
        <v>36746.985970448652</v>
      </c>
      <c r="E26" s="19" t="s">
        <v>115</v>
      </c>
    </row>
    <row r="27" spans="1:14" x14ac:dyDescent="0.55000000000000004">
      <c r="C27" s="19" t="s">
        <v>163</v>
      </c>
    </row>
    <row r="28" spans="1:14" x14ac:dyDescent="0.55000000000000004">
      <c r="B28" s="19" t="s">
        <v>162</v>
      </c>
      <c r="C28" s="19" t="s">
        <v>125</v>
      </c>
      <c r="D28" s="16">
        <f>'2'!K9</f>
        <v>48.805456688133127</v>
      </c>
      <c r="E28" s="19" t="s">
        <v>34</v>
      </c>
    </row>
    <row r="29" spans="1:14" ht="14.7" thickBot="1" x14ac:dyDescent="0.6">
      <c r="B29" s="19" t="s">
        <v>164</v>
      </c>
      <c r="C29" s="19" t="s">
        <v>125</v>
      </c>
      <c r="D29" s="29">
        <f>D28</f>
        <v>48.805456688133127</v>
      </c>
      <c r="E29" s="57" t="s">
        <v>165</v>
      </c>
      <c r="F29" s="19" t="s">
        <v>166</v>
      </c>
      <c r="G29" s="29">
        <f>D26</f>
        <v>36746.985970448652</v>
      </c>
      <c r="H29" s="57" t="s">
        <v>87</v>
      </c>
      <c r="I29" s="19" t="s">
        <v>167</v>
      </c>
      <c r="J29" s="28">
        <v>1</v>
      </c>
      <c r="K29" s="57" t="s">
        <v>109</v>
      </c>
      <c r="L29" s="19" t="s">
        <v>125</v>
      </c>
      <c r="M29">
        <f>(D29*G29)/J30</f>
        <v>1793.4534322001673</v>
      </c>
      <c r="N29" s="19" t="s">
        <v>155</v>
      </c>
    </row>
    <row r="30" spans="1:14" ht="14.7" thickTop="1" x14ac:dyDescent="0.55000000000000004">
      <c r="D30" s="68"/>
      <c r="E30" s="58" t="s">
        <v>87</v>
      </c>
      <c r="G30" s="26"/>
      <c r="H30" s="58" t="s">
        <v>57</v>
      </c>
      <c r="J30" s="26">
        <v>1000</v>
      </c>
      <c r="K30" s="58" t="s">
        <v>93</v>
      </c>
    </row>
    <row r="31" spans="1:14" x14ac:dyDescent="0.55000000000000004">
      <c r="B31" s="19" t="s">
        <v>186</v>
      </c>
      <c r="C31" s="19" t="s">
        <v>170</v>
      </c>
      <c r="D31" s="16">
        <f>'4'!D48</f>
        <v>37303.401994999054</v>
      </c>
      <c r="E31" s="61" t="s">
        <v>155</v>
      </c>
    </row>
    <row r="36" spans="2:17" x14ac:dyDescent="0.55000000000000004">
      <c r="B36" s="19" t="s">
        <v>187</v>
      </c>
      <c r="C36" s="19" t="s">
        <v>170</v>
      </c>
      <c r="D36" s="16">
        <f>J20+M29+D31</f>
        <v>40542.488294686445</v>
      </c>
      <c r="E36" s="61" t="s">
        <v>155</v>
      </c>
      <c r="G36" s="61" t="s">
        <v>188</v>
      </c>
      <c r="I36">
        <f>P40+P44</f>
        <v>40542.488289999994</v>
      </c>
      <c r="J36" t="s">
        <v>155</v>
      </c>
    </row>
    <row r="37" spans="2:17" x14ac:dyDescent="0.55000000000000004">
      <c r="B37" s="42" t="s">
        <v>189</v>
      </c>
      <c r="C37" s="42" t="s">
        <v>170</v>
      </c>
      <c r="D37" s="66">
        <v>63.785352969081508</v>
      </c>
      <c r="E37" s="65" t="s">
        <v>172</v>
      </c>
      <c r="F37" s="69" t="s">
        <v>194</v>
      </c>
    </row>
    <row r="38" spans="2:17" x14ac:dyDescent="0.55000000000000004">
      <c r="B38" s="20" t="s">
        <v>185</v>
      </c>
      <c r="C38" s="19" t="s">
        <v>125</v>
      </c>
      <c r="D38" s="16">
        <f>'Stream Table'!L8*1000</f>
        <v>27608.298045403393</v>
      </c>
      <c r="E38" s="61" t="s">
        <v>115</v>
      </c>
    </row>
    <row r="39" spans="2:17" x14ac:dyDescent="0.55000000000000004">
      <c r="B39" s="19" t="s">
        <v>169</v>
      </c>
      <c r="C39" s="19" t="s">
        <v>170</v>
      </c>
      <c r="D39">
        <f>'4'!J6</f>
        <v>0.25</v>
      </c>
      <c r="E39" t="s">
        <v>26</v>
      </c>
    </row>
    <row r="40" spans="2:17" ht="14.7" thickBot="1" x14ac:dyDescent="0.6">
      <c r="B40" s="19" t="s">
        <v>192</v>
      </c>
      <c r="C40" s="19" t="s">
        <v>170</v>
      </c>
      <c r="D40" s="29">
        <f>D38</f>
        <v>27608.298045403393</v>
      </c>
      <c r="E40" s="57" t="s">
        <v>87</v>
      </c>
      <c r="F40" s="19" t="s">
        <v>167</v>
      </c>
      <c r="G40" s="28">
        <f>D39</f>
        <v>0.25</v>
      </c>
      <c r="H40" s="57" t="s">
        <v>93</v>
      </c>
      <c r="I40" s="19" t="s">
        <v>166</v>
      </c>
      <c r="J40" s="28">
        <f>D37</f>
        <v>63.785352969081508</v>
      </c>
      <c r="K40" s="57" t="s">
        <v>46</v>
      </c>
      <c r="L40" s="19" t="s">
        <v>166</v>
      </c>
      <c r="M40" s="28">
        <v>1</v>
      </c>
      <c r="N40" s="57" t="s">
        <v>109</v>
      </c>
      <c r="O40" s="19" t="s">
        <v>125</v>
      </c>
      <c r="P40">
        <f>(D40*G40*J40)/M41</f>
        <v>440.25125892541462</v>
      </c>
      <c r="Q40" s="19" t="s">
        <v>155</v>
      </c>
    </row>
    <row r="41" spans="2:17" ht="14.7" thickTop="1" x14ac:dyDescent="0.55000000000000004">
      <c r="D41" s="26"/>
      <c r="E41" s="58" t="s">
        <v>57</v>
      </c>
      <c r="G41" s="26"/>
      <c r="H41" s="58" t="s">
        <v>174</v>
      </c>
      <c r="J41" s="26"/>
      <c r="K41" s="62"/>
      <c r="M41" s="26">
        <v>1000</v>
      </c>
      <c r="N41" s="58" t="s">
        <v>93</v>
      </c>
    </row>
    <row r="42" spans="2:17" x14ac:dyDescent="0.55000000000000004">
      <c r="B42" s="19" t="s">
        <v>190</v>
      </c>
      <c r="C42" s="19" t="s">
        <v>170</v>
      </c>
      <c r="D42" s="16">
        <f>('Stream Table'!L17-'Stream Table'!L8)*1000</f>
        <v>776180.30318438832</v>
      </c>
      <c r="E42" s="61" t="s">
        <v>115</v>
      </c>
    </row>
    <row r="43" spans="2:17" x14ac:dyDescent="0.55000000000000004">
      <c r="B43" s="19" t="s">
        <v>176</v>
      </c>
      <c r="C43" s="19" t="s">
        <v>170</v>
      </c>
      <c r="D43">
        <f>'4'!J7</f>
        <v>0.81</v>
      </c>
      <c r="E43" s="61" t="s">
        <v>26</v>
      </c>
    </row>
    <row r="44" spans="2:17" ht="14.7" thickBot="1" x14ac:dyDescent="0.6">
      <c r="B44" s="19" t="s">
        <v>191</v>
      </c>
      <c r="C44" s="19" t="s">
        <v>170</v>
      </c>
      <c r="D44" s="29">
        <f>D42</f>
        <v>776180.30318438832</v>
      </c>
      <c r="E44" s="63" t="s">
        <v>87</v>
      </c>
      <c r="F44" s="61" t="s">
        <v>167</v>
      </c>
      <c r="G44" s="28">
        <f>D43</f>
        <v>0.81</v>
      </c>
      <c r="H44" s="63" t="s">
        <v>93</v>
      </c>
      <c r="I44" s="61" t="s">
        <v>28</v>
      </c>
      <c r="J44" s="28">
        <f>D37</f>
        <v>63.785352969081508</v>
      </c>
      <c r="K44" s="63" t="s">
        <v>46</v>
      </c>
      <c r="L44" s="61" t="s">
        <v>166</v>
      </c>
      <c r="M44" s="28">
        <v>1</v>
      </c>
      <c r="N44" s="63" t="s">
        <v>109</v>
      </c>
      <c r="O44" s="19" t="s">
        <v>170</v>
      </c>
      <c r="P44">
        <f>(D44*G44*J44)/M45</f>
        <v>40102.237031074583</v>
      </c>
      <c r="Q44" s="19" t="s">
        <v>155</v>
      </c>
    </row>
    <row r="45" spans="2:17" ht="14.7" thickTop="1" x14ac:dyDescent="0.55000000000000004">
      <c r="D45" s="26"/>
      <c r="E45" s="64" t="s">
        <v>57</v>
      </c>
      <c r="G45" s="26"/>
      <c r="H45" s="64" t="s">
        <v>174</v>
      </c>
      <c r="J45" s="26"/>
      <c r="K45" s="62"/>
      <c r="M45" s="26">
        <v>1000</v>
      </c>
      <c r="N45" s="64" t="s">
        <v>93</v>
      </c>
    </row>
    <row r="55" spans="1:13" x14ac:dyDescent="0.55000000000000004">
      <c r="B55" t="s">
        <v>147</v>
      </c>
    </row>
    <row r="57" spans="1:13" ht="14.7" thickBot="1" x14ac:dyDescent="0.6">
      <c r="B57" s="23" t="s">
        <v>148</v>
      </c>
      <c r="C57" s="19" t="s">
        <v>27</v>
      </c>
      <c r="D57" s="53" t="s">
        <v>151</v>
      </c>
      <c r="E57" s="53" t="s">
        <v>149</v>
      </c>
      <c r="F57" s="53" t="s">
        <v>152</v>
      </c>
      <c r="G57" s="17" t="s">
        <v>27</v>
      </c>
      <c r="H57" s="54">
        <f>'Stream Table'!L36</f>
        <v>0.54541047823875854</v>
      </c>
      <c r="I57" s="55" t="s">
        <v>81</v>
      </c>
      <c r="J57" s="54">
        <f>'Stream Table'!K36</f>
        <v>0.10800265146501373</v>
      </c>
      <c r="K57" t="s">
        <v>27</v>
      </c>
      <c r="L57" s="52">
        <f>(H57-J57)/I58</f>
        <v>0.2187039133868724</v>
      </c>
      <c r="M57" t="s">
        <v>129</v>
      </c>
    </row>
    <row r="58" spans="1:13" x14ac:dyDescent="0.55000000000000004">
      <c r="D58" s="19"/>
      <c r="E58" s="23" t="s">
        <v>150</v>
      </c>
      <c r="F58" s="19"/>
      <c r="H58" s="19"/>
      <c r="I58" s="19">
        <v>2</v>
      </c>
      <c r="J58" s="19"/>
    </row>
    <row r="60" spans="1:13" x14ac:dyDescent="0.55000000000000004">
      <c r="B60" s="19" t="s">
        <v>153</v>
      </c>
      <c r="C60" s="19" t="s">
        <v>27</v>
      </c>
      <c r="D60" s="19">
        <f>6.61</f>
        <v>6.61</v>
      </c>
      <c r="E60" s="19" t="s">
        <v>108</v>
      </c>
      <c r="F60" s="19"/>
      <c r="G60" s="19"/>
      <c r="H60" s="19"/>
      <c r="I60" s="19"/>
      <c r="J60" s="19"/>
      <c r="K60" s="19"/>
    </row>
    <row r="61" spans="1:13" ht="14.7" thickBot="1" x14ac:dyDescent="0.6">
      <c r="A61" t="s">
        <v>44</v>
      </c>
      <c r="B61" s="19" t="s">
        <v>154</v>
      </c>
      <c r="C61" s="19" t="s">
        <v>27</v>
      </c>
      <c r="D61" s="59">
        <v>6.61</v>
      </c>
      <c r="E61" s="57" t="s">
        <v>109</v>
      </c>
      <c r="F61" s="19" t="s">
        <v>28</v>
      </c>
      <c r="G61" s="59">
        <f>L57*1000</f>
        <v>218.70391338687239</v>
      </c>
      <c r="H61" s="57" t="s">
        <v>110</v>
      </c>
      <c r="I61" s="19" t="s">
        <v>27</v>
      </c>
      <c r="J61" s="19">
        <f>D61*G61</f>
        <v>1445.6328674872266</v>
      </c>
      <c r="K61" s="19" t="s">
        <v>155</v>
      </c>
    </row>
    <row r="62" spans="1:13" ht="14.7" thickTop="1" x14ac:dyDescent="0.55000000000000004">
      <c r="B62" s="19"/>
      <c r="C62" s="19"/>
      <c r="D62" s="60"/>
      <c r="E62" s="58" t="s">
        <v>110</v>
      </c>
      <c r="F62" s="19"/>
      <c r="G62" s="60"/>
      <c r="H62" s="58" t="s">
        <v>57</v>
      </c>
      <c r="I62" s="19"/>
      <c r="J62" s="19"/>
      <c r="K62" s="19"/>
    </row>
    <row r="63" spans="1:13" x14ac:dyDescent="0.55000000000000004">
      <c r="B63" t="s">
        <v>196</v>
      </c>
    </row>
    <row r="64" spans="1:13" x14ac:dyDescent="0.55000000000000004">
      <c r="B64" s="56" t="s">
        <v>157</v>
      </c>
      <c r="C64" t="s">
        <v>27</v>
      </c>
      <c r="D64" s="16" t="s">
        <v>185</v>
      </c>
      <c r="E64" s="19" t="s">
        <v>81</v>
      </c>
      <c r="F64" t="s">
        <v>197</v>
      </c>
    </row>
    <row r="65" spans="2:14" x14ac:dyDescent="0.55000000000000004">
      <c r="C65" s="19" t="s">
        <v>27</v>
      </c>
      <c r="D65" s="16">
        <f>'Stream Table'!L8</f>
        <v>27.608298045403394</v>
      </c>
      <c r="E65" s="19" t="s">
        <v>149</v>
      </c>
      <c r="F65" s="16">
        <f>'Stream Table'!K8</f>
        <v>0</v>
      </c>
    </row>
    <row r="66" spans="2:14" x14ac:dyDescent="0.55000000000000004">
      <c r="C66" s="19" t="s">
        <v>27</v>
      </c>
      <c r="D66" s="16">
        <f>D65-F65</f>
        <v>27.608298045403394</v>
      </c>
      <c r="E66" s="19" t="s">
        <v>90</v>
      </c>
    </row>
    <row r="67" spans="2:14" x14ac:dyDescent="0.55000000000000004">
      <c r="C67" s="19" t="s">
        <v>27</v>
      </c>
      <c r="D67" s="16">
        <f>D66*1000</f>
        <v>27608.298045403393</v>
      </c>
      <c r="E67" s="19" t="s">
        <v>115</v>
      </c>
    </row>
    <row r="68" spans="2:14" x14ac:dyDescent="0.55000000000000004">
      <c r="C68" s="19" t="s">
        <v>163</v>
      </c>
    </row>
    <row r="69" spans="2:14" x14ac:dyDescent="0.55000000000000004">
      <c r="B69" s="19" t="s">
        <v>162</v>
      </c>
      <c r="C69" s="19" t="s">
        <v>125</v>
      </c>
      <c r="D69" s="16">
        <f>D28</f>
        <v>48.805456688133127</v>
      </c>
      <c r="E69" s="19" t="s">
        <v>34</v>
      </c>
    </row>
    <row r="70" spans="2:14" ht="14.7" thickBot="1" x14ac:dyDescent="0.6">
      <c r="B70" s="19" t="s">
        <v>164</v>
      </c>
      <c r="C70" s="19" t="s">
        <v>125</v>
      </c>
      <c r="D70" s="29">
        <f>D69</f>
        <v>48.805456688133127</v>
      </c>
      <c r="E70" s="57" t="s">
        <v>165</v>
      </c>
      <c r="F70" s="19" t="s">
        <v>166</v>
      </c>
      <c r="G70" s="29">
        <f>D67</f>
        <v>27608.298045403393</v>
      </c>
      <c r="H70" s="57" t="s">
        <v>87</v>
      </c>
      <c r="I70" s="19" t="s">
        <v>167</v>
      </c>
      <c r="J70" s="28">
        <v>1</v>
      </c>
      <c r="K70" s="57" t="s">
        <v>109</v>
      </c>
      <c r="L70" s="19" t="s">
        <v>125</v>
      </c>
      <c r="M70">
        <f>(D70*G70)/J71</f>
        <v>1347.4355944880058</v>
      </c>
      <c r="N70" s="19" t="s">
        <v>155</v>
      </c>
    </row>
    <row r="71" spans="2:14" ht="14.7" thickTop="1" x14ac:dyDescent="0.55000000000000004">
      <c r="D71" s="68"/>
      <c r="E71" s="58" t="s">
        <v>87</v>
      </c>
      <c r="G71" s="26"/>
      <c r="H71" s="58" t="s">
        <v>57</v>
      </c>
      <c r="J71" s="26">
        <v>1000</v>
      </c>
      <c r="K71" s="58" t="s">
        <v>93</v>
      </c>
    </row>
    <row r="72" spans="2:14" x14ac:dyDescent="0.55000000000000004">
      <c r="B72" s="19" t="s">
        <v>187</v>
      </c>
      <c r="C72" s="19" t="s">
        <v>170</v>
      </c>
      <c r="D72" s="77">
        <f>D36</f>
        <v>40542.488294686445</v>
      </c>
      <c r="E72" s="61" t="s">
        <v>155</v>
      </c>
    </row>
    <row r="73" spans="2:14" x14ac:dyDescent="0.55000000000000004">
      <c r="B73" s="56" t="s">
        <v>198</v>
      </c>
    </row>
    <row r="81" spans="2:17" x14ac:dyDescent="0.55000000000000004">
      <c r="B81" s="19" t="s">
        <v>199</v>
      </c>
      <c r="C81" s="19" t="s">
        <v>170</v>
      </c>
      <c r="D81" s="16">
        <f>J61+M70+D72</f>
        <v>43335.556756661681</v>
      </c>
      <c r="E81" s="61" t="s">
        <v>155</v>
      </c>
      <c r="G81" s="61" t="s">
        <v>204</v>
      </c>
      <c r="I81">
        <f>P85+P89</f>
        <v>43335.601043248796</v>
      </c>
      <c r="J81" t="s">
        <v>155</v>
      </c>
    </row>
    <row r="82" spans="2:17" x14ac:dyDescent="0.55000000000000004">
      <c r="B82" s="70" t="s">
        <v>200</v>
      </c>
      <c r="C82" s="70" t="s">
        <v>170</v>
      </c>
      <c r="D82" s="71">
        <v>67.347899813011409</v>
      </c>
      <c r="E82" s="72" t="s">
        <v>172</v>
      </c>
      <c r="F82" s="69" t="s">
        <v>194</v>
      </c>
    </row>
    <row r="83" spans="2:17" x14ac:dyDescent="0.55000000000000004">
      <c r="B83" s="20" t="s">
        <v>197</v>
      </c>
      <c r="C83" s="19" t="s">
        <v>125</v>
      </c>
      <c r="D83" s="16">
        <f>'Stream Table'!K8*1000</f>
        <v>0</v>
      </c>
      <c r="E83" s="61" t="s">
        <v>115</v>
      </c>
    </row>
    <row r="84" spans="2:17" x14ac:dyDescent="0.55000000000000004">
      <c r="B84" s="19" t="s">
        <v>169</v>
      </c>
      <c r="C84" s="19" t="s">
        <v>170</v>
      </c>
      <c r="D84">
        <v>0.25</v>
      </c>
      <c r="E84" t="s">
        <v>26</v>
      </c>
    </row>
    <row r="85" spans="2:17" ht="14.7" thickBot="1" x14ac:dyDescent="0.6">
      <c r="B85" s="19" t="s">
        <v>201</v>
      </c>
      <c r="C85" s="19" t="s">
        <v>170</v>
      </c>
      <c r="D85" s="29">
        <f>D83</f>
        <v>0</v>
      </c>
      <c r="E85" s="57" t="s">
        <v>87</v>
      </c>
      <c r="F85" s="19" t="s">
        <v>167</v>
      </c>
      <c r="G85" s="28">
        <f>D84</f>
        <v>0.25</v>
      </c>
      <c r="H85" s="57" t="s">
        <v>93</v>
      </c>
      <c r="I85" s="19" t="s">
        <v>166</v>
      </c>
      <c r="J85" s="28">
        <f>D82</f>
        <v>67.347899813011409</v>
      </c>
      <c r="K85" s="57" t="s">
        <v>46</v>
      </c>
      <c r="L85" s="19" t="s">
        <v>166</v>
      </c>
      <c r="M85" s="28">
        <v>1</v>
      </c>
      <c r="N85" s="57" t="s">
        <v>109</v>
      </c>
      <c r="O85" s="19" t="s">
        <v>125</v>
      </c>
      <c r="P85">
        <f>(D85*G85*J85)/M86</f>
        <v>0</v>
      </c>
      <c r="Q85" s="19" t="s">
        <v>155</v>
      </c>
    </row>
    <row r="86" spans="2:17" ht="14.7" thickTop="1" x14ac:dyDescent="0.55000000000000004">
      <c r="D86" s="26"/>
      <c r="E86" s="58" t="s">
        <v>57</v>
      </c>
      <c r="G86" s="26"/>
      <c r="H86" s="58" t="s">
        <v>174</v>
      </c>
      <c r="J86" s="26"/>
      <c r="K86" s="62"/>
      <c r="M86" s="26">
        <v>1000</v>
      </c>
      <c r="N86" s="58" t="s">
        <v>93</v>
      </c>
    </row>
    <row r="87" spans="2:17" x14ac:dyDescent="0.55000000000000004">
      <c r="B87" s="19" t="s">
        <v>202</v>
      </c>
      <c r="C87" s="19" t="s">
        <v>170</v>
      </c>
      <c r="D87" s="16">
        <f>('Stream Table'!K17-'Stream Table'!K8)*1000</f>
        <v>794393.6214380071</v>
      </c>
      <c r="E87" s="61" t="s">
        <v>115</v>
      </c>
    </row>
    <row r="88" spans="2:17" x14ac:dyDescent="0.55000000000000004">
      <c r="B88" s="19" t="s">
        <v>176</v>
      </c>
      <c r="C88" s="19" t="s">
        <v>170</v>
      </c>
      <c r="D88">
        <v>0.81</v>
      </c>
      <c r="E88" s="61" t="s">
        <v>26</v>
      </c>
    </row>
    <row r="89" spans="2:17" ht="14.7" thickBot="1" x14ac:dyDescent="0.6">
      <c r="B89" s="19" t="s">
        <v>203</v>
      </c>
      <c r="C89" s="19" t="s">
        <v>170</v>
      </c>
      <c r="D89" s="29">
        <f>D87</f>
        <v>794393.6214380071</v>
      </c>
      <c r="E89" s="63" t="s">
        <v>87</v>
      </c>
      <c r="F89" s="61" t="s">
        <v>167</v>
      </c>
      <c r="G89" s="28">
        <f>D88</f>
        <v>0.81</v>
      </c>
      <c r="H89" s="63" t="s">
        <v>93</v>
      </c>
      <c r="I89" s="61" t="s">
        <v>28</v>
      </c>
      <c r="J89" s="28">
        <f>D82</f>
        <v>67.347899813011409</v>
      </c>
      <c r="K89" s="63" t="s">
        <v>46</v>
      </c>
      <c r="L89" s="61" t="s">
        <v>166</v>
      </c>
      <c r="M89" s="28">
        <v>1</v>
      </c>
      <c r="N89" s="63" t="s">
        <v>109</v>
      </c>
      <c r="O89" s="19" t="s">
        <v>170</v>
      </c>
      <c r="P89">
        <f>(D89*G89*J89)/M90</f>
        <v>43335.601043248796</v>
      </c>
      <c r="Q89" s="19" t="s">
        <v>155</v>
      </c>
    </row>
    <row r="90" spans="2:17" ht="14.7" thickTop="1" x14ac:dyDescent="0.55000000000000004">
      <c r="D90" s="26"/>
      <c r="E90" s="64" t="s">
        <v>57</v>
      </c>
      <c r="G90" s="26"/>
      <c r="H90" s="64" t="s">
        <v>174</v>
      </c>
      <c r="J90" s="26"/>
      <c r="K90" s="62"/>
      <c r="M90" s="26">
        <v>1000</v>
      </c>
      <c r="N90" s="64" t="s">
        <v>93</v>
      </c>
    </row>
    <row r="91" spans="2:17" x14ac:dyDescent="0.55000000000000004">
      <c r="B91" s="56" t="s">
        <v>205</v>
      </c>
    </row>
    <row r="92" spans="2:17" x14ac:dyDescent="0.55000000000000004">
      <c r="B92" s="19" t="s">
        <v>206</v>
      </c>
      <c r="C92" s="19" t="s">
        <v>27</v>
      </c>
      <c r="D92" s="16">
        <f>'4'!D59</f>
        <v>16848.437259000042</v>
      </c>
      <c r="E92" s="61" t="s">
        <v>155</v>
      </c>
    </row>
    <row r="93" spans="2:17" x14ac:dyDescent="0.55000000000000004">
      <c r="C93" s="19" t="s">
        <v>27</v>
      </c>
      <c r="D93" s="16">
        <f>D92*4.18</f>
        <v>70426.467742620167</v>
      </c>
      <c r="E93" s="61" t="s">
        <v>207</v>
      </c>
    </row>
    <row r="94" spans="2:17" x14ac:dyDescent="0.55000000000000004">
      <c r="B94" t="s">
        <v>208</v>
      </c>
    </row>
    <row r="95" spans="2:17" x14ac:dyDescent="0.55000000000000004">
      <c r="B95" t="s">
        <v>209</v>
      </c>
      <c r="C95" t="s">
        <v>27</v>
      </c>
      <c r="D95">
        <f>2724.7</f>
        <v>2724.7</v>
      </c>
      <c r="E95" s="61" t="s">
        <v>210</v>
      </c>
    </row>
    <row r="96" spans="2:17" x14ac:dyDescent="0.55000000000000004">
      <c r="B96" t="s">
        <v>211</v>
      </c>
    </row>
    <row r="97" spans="2:9" ht="14.7" thickBot="1" x14ac:dyDescent="0.6">
      <c r="B97" s="78" t="s">
        <v>212</v>
      </c>
      <c r="C97" s="78" t="s">
        <v>27</v>
      </c>
      <c r="D97" s="79" t="s">
        <v>206</v>
      </c>
      <c r="E97" s="72" t="s">
        <v>27</v>
      </c>
      <c r="F97" s="80">
        <f>D93</f>
        <v>70426.467742620167</v>
      </c>
      <c r="G97" s="78" t="s">
        <v>27</v>
      </c>
      <c r="H97" s="81">
        <f>F97/F98</f>
        <v>25.847420906015405</v>
      </c>
      <c r="I97" s="78" t="s">
        <v>90</v>
      </c>
    </row>
    <row r="98" spans="2:9" x14ac:dyDescent="0.55000000000000004">
      <c r="B98" s="78"/>
      <c r="C98" s="78"/>
      <c r="D98" s="78" t="s">
        <v>209</v>
      </c>
      <c r="E98" s="78"/>
      <c r="F98" s="78">
        <f>D95</f>
        <v>2724.7</v>
      </c>
      <c r="G98" s="78"/>
      <c r="H98" s="78"/>
      <c r="I98" s="78"/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74"/>
  <sheetViews>
    <sheetView topLeftCell="A10" workbookViewId="0">
      <selection activeCell="D26" sqref="D26"/>
    </sheetView>
  </sheetViews>
  <sheetFormatPr defaultRowHeight="14.4" x14ac:dyDescent="0.55000000000000004"/>
  <cols>
    <col min="2" max="2" width="13.5234375" customWidth="1"/>
    <col min="4" max="4" width="16" bestFit="1" customWidth="1"/>
    <col min="6" max="6" width="13.41796875" bestFit="1" customWidth="1"/>
    <col min="10" max="10" width="13.68359375" bestFit="1" customWidth="1"/>
    <col min="12" max="12" width="13.3125" bestFit="1" customWidth="1"/>
  </cols>
  <sheetData>
    <row r="2" spans="1:14" x14ac:dyDescent="0.55000000000000004">
      <c r="A2" t="s">
        <v>213</v>
      </c>
    </row>
    <row r="4" spans="1:14" x14ac:dyDescent="0.55000000000000004">
      <c r="B4">
        <v>8</v>
      </c>
      <c r="F4" t="s">
        <v>22</v>
      </c>
    </row>
    <row r="6" spans="1:14" x14ac:dyDescent="0.55000000000000004">
      <c r="B6" s="82" t="s">
        <v>214</v>
      </c>
      <c r="F6" t="s">
        <v>215</v>
      </c>
    </row>
    <row r="8" spans="1:14" x14ac:dyDescent="0.55000000000000004">
      <c r="A8" t="s">
        <v>216</v>
      </c>
    </row>
    <row r="9" spans="1:14" x14ac:dyDescent="0.55000000000000004">
      <c r="A9" t="s">
        <v>217</v>
      </c>
    </row>
    <row r="13" spans="1:14" x14ac:dyDescent="0.55000000000000004">
      <c r="A13" t="s">
        <v>218</v>
      </c>
    </row>
    <row r="14" spans="1:14" x14ac:dyDescent="0.55000000000000004">
      <c r="B14" s="17" t="s">
        <v>219</v>
      </c>
      <c r="C14" t="s">
        <v>27</v>
      </c>
      <c r="D14">
        <f>'4 cont'!$J$61</f>
        <v>1445.6328674872266</v>
      </c>
      <c r="E14" t="s">
        <v>155</v>
      </c>
    </row>
    <row r="15" spans="1:14" x14ac:dyDescent="0.55000000000000004">
      <c r="B15" s="17" t="s">
        <v>220</v>
      </c>
      <c r="C15" t="s">
        <v>27</v>
      </c>
      <c r="D15">
        <f>'4 cont'!$M$70</f>
        <v>1347.4355944880058</v>
      </c>
      <c r="E15" t="s">
        <v>155</v>
      </c>
    </row>
    <row r="16" spans="1:14" x14ac:dyDescent="0.55000000000000004">
      <c r="B16" s="19" t="s">
        <v>221</v>
      </c>
      <c r="C16" s="19" t="s">
        <v>27</v>
      </c>
      <c r="D16" s="19" t="s">
        <v>35</v>
      </c>
      <c r="E16" s="19" t="s">
        <v>29</v>
      </c>
      <c r="F16" s="19" t="s">
        <v>98</v>
      </c>
      <c r="G16" s="19"/>
      <c r="H16" s="19"/>
      <c r="I16" s="19"/>
      <c r="J16" s="19"/>
      <c r="K16" s="19"/>
      <c r="L16" s="19"/>
      <c r="M16" s="19"/>
      <c r="N16" s="19"/>
    </row>
    <row r="17" spans="1:14" x14ac:dyDescent="0.55000000000000004">
      <c r="B17" s="19"/>
      <c r="C17" s="19" t="s">
        <v>27</v>
      </c>
      <c r="D17" s="19" t="s">
        <v>89</v>
      </c>
      <c r="E17" s="19" t="s">
        <v>28</v>
      </c>
      <c r="F17" s="19" t="s">
        <v>36</v>
      </c>
      <c r="G17" s="19" t="s">
        <v>28</v>
      </c>
      <c r="H17" s="19" t="s">
        <v>222</v>
      </c>
      <c r="I17" s="19" t="s">
        <v>29</v>
      </c>
      <c r="J17" s="19" t="s">
        <v>114</v>
      </c>
      <c r="K17" s="19" t="s">
        <v>28</v>
      </c>
      <c r="L17" s="19" t="s">
        <v>223</v>
      </c>
      <c r="M17" s="19" t="s">
        <v>28</v>
      </c>
      <c r="N17" s="19" t="s">
        <v>222</v>
      </c>
    </row>
    <row r="18" spans="1:14" x14ac:dyDescent="0.55000000000000004">
      <c r="B18" s="19"/>
      <c r="C18" s="19" t="s">
        <v>27</v>
      </c>
      <c r="D18" s="24">
        <f>'Stream Table'!L8*1000</f>
        <v>27608.298045403393</v>
      </c>
      <c r="E18" s="19" t="s">
        <v>28</v>
      </c>
      <c r="F18" s="19">
        <v>0.25</v>
      </c>
      <c r="G18" s="19" t="s">
        <v>28</v>
      </c>
      <c r="H18" s="19">
        <f>60</f>
        <v>60</v>
      </c>
      <c r="I18" s="19" t="s">
        <v>29</v>
      </c>
      <c r="J18" s="24">
        <f>('Stream Table'!L17-'Stream Table'!L8)*1000</f>
        <v>776180.30318438832</v>
      </c>
      <c r="K18" s="19" t="s">
        <v>28</v>
      </c>
      <c r="L18" s="19">
        <v>0.81</v>
      </c>
      <c r="M18" s="19" t="s">
        <v>28</v>
      </c>
      <c r="N18" s="19">
        <f>60</f>
        <v>60</v>
      </c>
    </row>
    <row r="19" spans="1:14" x14ac:dyDescent="0.55000000000000004">
      <c r="B19" s="19"/>
      <c r="C19" s="19" t="s">
        <v>27</v>
      </c>
      <c r="D19" s="20">
        <f>(D18*F18*H18)+(J18*L18*N18)</f>
        <v>38136487.205442324</v>
      </c>
      <c r="E19" s="19" t="s">
        <v>97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55000000000000004">
      <c r="C20" s="19" t="s">
        <v>27</v>
      </c>
      <c r="D20" s="16">
        <f>D19/1000</f>
        <v>38136.487205442325</v>
      </c>
      <c r="E20" s="19" t="s">
        <v>155</v>
      </c>
    </row>
    <row r="21" spans="1:14" x14ac:dyDescent="0.55000000000000004">
      <c r="A21" t="s">
        <v>224</v>
      </c>
      <c r="D21" s="16"/>
    </row>
    <row r="22" spans="1:14" x14ac:dyDescent="0.55000000000000004">
      <c r="B22" s="19" t="s">
        <v>225</v>
      </c>
      <c r="C22" s="19" t="s">
        <v>27</v>
      </c>
      <c r="D22" s="16">
        <f>D14+D15+D20</f>
        <v>40929.55566741756</v>
      </c>
      <c r="E22" s="19" t="s">
        <v>155</v>
      </c>
    </row>
    <row r="23" spans="1:14" x14ac:dyDescent="0.55000000000000004">
      <c r="A23" t="s">
        <v>44</v>
      </c>
    </row>
    <row r="24" spans="1:14" x14ac:dyDescent="0.55000000000000004">
      <c r="B24" s="19" t="s">
        <v>225</v>
      </c>
      <c r="C24" s="19" t="s">
        <v>27</v>
      </c>
      <c r="D24" s="19" t="s">
        <v>89</v>
      </c>
      <c r="E24" s="19" t="s">
        <v>28</v>
      </c>
      <c r="F24" s="19" t="s">
        <v>36</v>
      </c>
      <c r="G24" s="19" t="s">
        <v>28</v>
      </c>
      <c r="H24" s="19" t="s">
        <v>226</v>
      </c>
      <c r="I24" s="19" t="s">
        <v>29</v>
      </c>
      <c r="J24" s="19" t="s">
        <v>114</v>
      </c>
      <c r="K24" s="19" t="s">
        <v>28</v>
      </c>
      <c r="L24" s="19" t="s">
        <v>223</v>
      </c>
      <c r="M24" s="19" t="s">
        <v>28</v>
      </c>
      <c r="N24" s="19" t="s">
        <v>226</v>
      </c>
    </row>
    <row r="25" spans="1:14" x14ac:dyDescent="0.55000000000000004">
      <c r="A25" s="18" t="s">
        <v>39</v>
      </c>
      <c r="B25" s="20">
        <f>D22*1000</f>
        <v>40929555.667417563</v>
      </c>
      <c r="C25" s="19" t="s">
        <v>27</v>
      </c>
      <c r="D25" s="19">
        <f>'Stream Table'!K8*1000</f>
        <v>0</v>
      </c>
      <c r="E25" s="19" t="s">
        <v>28</v>
      </c>
      <c r="F25" s="19">
        <f>0.25</f>
        <v>0.25</v>
      </c>
      <c r="G25" s="19" t="s">
        <v>28</v>
      </c>
      <c r="H25" s="19" t="s">
        <v>226</v>
      </c>
      <c r="I25" s="19" t="s">
        <v>29</v>
      </c>
      <c r="J25" s="19">
        <f>('Stream Table'!K17-'Stream Table'!K8)*1000</f>
        <v>794393.6214380071</v>
      </c>
      <c r="K25" s="19" t="s">
        <v>28</v>
      </c>
      <c r="L25" s="19">
        <f>0.81</f>
        <v>0.81</v>
      </c>
      <c r="M25" s="19" t="s">
        <v>28</v>
      </c>
      <c r="N25" s="19" t="s">
        <v>226</v>
      </c>
    </row>
    <row r="26" spans="1:14" x14ac:dyDescent="0.55000000000000004">
      <c r="A26" s="83" t="s">
        <v>39</v>
      </c>
      <c r="B26" s="84" t="s">
        <v>226</v>
      </c>
      <c r="C26" s="85" t="s">
        <v>27</v>
      </c>
      <c r="D26" s="84">
        <f>B25/(D25*F25+J25*L25)</f>
        <v>63.608662349676734</v>
      </c>
      <c r="E26" s="85" t="s">
        <v>46</v>
      </c>
      <c r="F26" s="19"/>
      <c r="G26" s="19"/>
      <c r="H26" s="19"/>
      <c r="I26" s="19"/>
      <c r="J26" s="19"/>
      <c r="K26" s="19"/>
      <c r="L26" s="19"/>
      <c r="M26" s="19"/>
      <c r="N26" s="19"/>
    </row>
    <row r="28" spans="1:14" x14ac:dyDescent="0.55000000000000004">
      <c r="A28" t="s">
        <v>227</v>
      </c>
    </row>
    <row r="29" spans="1:14" x14ac:dyDescent="0.55000000000000004">
      <c r="F29" t="s">
        <v>235</v>
      </c>
    </row>
    <row r="30" spans="1:14" x14ac:dyDescent="0.55000000000000004">
      <c r="A30">
        <v>9</v>
      </c>
      <c r="E30" t="s">
        <v>228</v>
      </c>
      <c r="G30" s="56">
        <v>8</v>
      </c>
    </row>
    <row r="32" spans="1:14" x14ac:dyDescent="0.55000000000000004">
      <c r="A32" s="82" t="s">
        <v>229</v>
      </c>
      <c r="D32" s="139" t="s">
        <v>230</v>
      </c>
      <c r="E32" s="139"/>
      <c r="F32" s="82" t="s">
        <v>231</v>
      </c>
    </row>
    <row r="34" spans="1:14" x14ac:dyDescent="0.55000000000000004">
      <c r="A34" t="s">
        <v>232</v>
      </c>
    </row>
    <row r="35" spans="1:14" x14ac:dyDescent="0.55000000000000004">
      <c r="B35" s="85" t="s">
        <v>233</v>
      </c>
      <c r="C35" s="85" t="s">
        <v>27</v>
      </c>
      <c r="D35" s="85">
        <f>63.79</f>
        <v>63.79</v>
      </c>
      <c r="E35" s="73" t="s">
        <v>46</v>
      </c>
    </row>
    <row r="40" spans="1:14" x14ac:dyDescent="0.55000000000000004">
      <c r="B40" s="19" t="s">
        <v>221</v>
      </c>
      <c r="C40" s="19" t="s">
        <v>27</v>
      </c>
      <c r="D40" s="20">
        <f>D20</f>
        <v>38136.487205442325</v>
      </c>
      <c r="E40" t="s">
        <v>155</v>
      </c>
    </row>
    <row r="41" spans="1:14" x14ac:dyDescent="0.55000000000000004">
      <c r="B41" s="19" t="s">
        <v>237</v>
      </c>
      <c r="C41" s="19" t="s">
        <v>27</v>
      </c>
      <c r="D41" s="19" t="s">
        <v>89</v>
      </c>
      <c r="E41" s="19" t="s">
        <v>28</v>
      </c>
      <c r="F41" s="19" t="s">
        <v>36</v>
      </c>
      <c r="G41" s="19" t="s">
        <v>28</v>
      </c>
      <c r="H41" s="19" t="s">
        <v>233</v>
      </c>
      <c r="I41" s="19" t="s">
        <v>29</v>
      </c>
      <c r="J41" s="19" t="s">
        <v>114</v>
      </c>
      <c r="K41" s="19" t="s">
        <v>28</v>
      </c>
      <c r="L41" s="19" t="s">
        <v>223</v>
      </c>
      <c r="M41" s="19" t="s">
        <v>28</v>
      </c>
      <c r="N41" s="19" t="s">
        <v>233</v>
      </c>
    </row>
    <row r="42" spans="1:14" x14ac:dyDescent="0.55000000000000004">
      <c r="B42" s="19"/>
      <c r="C42" s="19" t="s">
        <v>27</v>
      </c>
      <c r="D42" s="19">
        <f>'Stream Table'!L8*1000</f>
        <v>27608.298045403393</v>
      </c>
      <c r="E42" s="19" t="s">
        <v>28</v>
      </c>
      <c r="F42" s="19">
        <v>0.25</v>
      </c>
      <c r="G42" s="19" t="s">
        <v>28</v>
      </c>
      <c r="H42" s="19">
        <f>D35</f>
        <v>63.79</v>
      </c>
      <c r="I42" s="19" t="s">
        <v>29</v>
      </c>
      <c r="J42" s="19">
        <f>('Stream Table'!L17-'Stream Table'!L8)*1000</f>
        <v>776180.30318438832</v>
      </c>
      <c r="K42" s="19" t="s">
        <v>28</v>
      </c>
      <c r="L42" s="19">
        <v>0.81</v>
      </c>
      <c r="M42" s="19"/>
      <c r="N42" s="19">
        <f>D35</f>
        <v>63.79</v>
      </c>
    </row>
    <row r="43" spans="1:14" x14ac:dyDescent="0.55000000000000004">
      <c r="B43" s="19"/>
      <c r="C43" s="19" t="s">
        <v>27</v>
      </c>
      <c r="D43" s="19">
        <f>D42*F42*H42+J42*L42*N42</f>
        <v>40545441.980586104</v>
      </c>
      <c r="E43" t="s">
        <v>97</v>
      </c>
    </row>
    <row r="44" spans="1:14" x14ac:dyDescent="0.55000000000000004">
      <c r="B44" s="19"/>
      <c r="C44" s="19" t="s">
        <v>27</v>
      </c>
      <c r="D44" s="20">
        <f>D43/1000</f>
        <v>40545.441980586103</v>
      </c>
      <c r="E44" t="s">
        <v>155</v>
      </c>
    </row>
    <row r="45" spans="1:14" x14ac:dyDescent="0.55000000000000004">
      <c r="A45" t="s">
        <v>236</v>
      </c>
      <c r="B45" s="19" t="s">
        <v>234</v>
      </c>
      <c r="C45" s="19" t="s">
        <v>27</v>
      </c>
      <c r="D45" s="19" t="s">
        <v>237</v>
      </c>
      <c r="E45" s="19" t="s">
        <v>81</v>
      </c>
      <c r="F45" s="19" t="s">
        <v>221</v>
      </c>
    </row>
    <row r="46" spans="1:14" x14ac:dyDescent="0.55000000000000004">
      <c r="A46" s="18" t="s">
        <v>39</v>
      </c>
      <c r="B46" s="19" t="s">
        <v>234</v>
      </c>
      <c r="C46" s="19" t="s">
        <v>27</v>
      </c>
      <c r="D46" s="20">
        <f>D44</f>
        <v>40545.441980586103</v>
      </c>
      <c r="E46" s="19" t="s">
        <v>81</v>
      </c>
      <c r="F46" s="20">
        <f>D40</f>
        <v>38136.487205442325</v>
      </c>
    </row>
    <row r="47" spans="1:14" x14ac:dyDescent="0.55000000000000004">
      <c r="A47" s="83" t="s">
        <v>39</v>
      </c>
      <c r="B47" s="85" t="s">
        <v>234</v>
      </c>
      <c r="C47" s="85" t="s">
        <v>27</v>
      </c>
      <c r="D47" s="84">
        <f>D46-F46</f>
        <v>2408.9547751437785</v>
      </c>
      <c r="E47" s="73" t="s">
        <v>155</v>
      </c>
    </row>
    <row r="49" spans="1:13" x14ac:dyDescent="0.55000000000000004">
      <c r="A49" t="s">
        <v>238</v>
      </c>
    </row>
    <row r="50" spans="1:13" x14ac:dyDescent="0.55000000000000004">
      <c r="C50" t="s">
        <v>239</v>
      </c>
    </row>
    <row r="51" spans="1:13" x14ac:dyDescent="0.55000000000000004">
      <c r="B51" t="s">
        <v>22</v>
      </c>
      <c r="D51" s="56">
        <v>5</v>
      </c>
    </row>
    <row r="53" spans="1:13" x14ac:dyDescent="0.55000000000000004">
      <c r="B53" t="s">
        <v>240</v>
      </c>
      <c r="D53" t="s">
        <v>241</v>
      </c>
    </row>
    <row r="58" spans="1:13" x14ac:dyDescent="0.55000000000000004">
      <c r="B58" t="s">
        <v>147</v>
      </c>
    </row>
    <row r="60" spans="1:13" ht="14.7" thickBot="1" x14ac:dyDescent="0.6">
      <c r="B60" s="23" t="s">
        <v>148</v>
      </c>
      <c r="C60" s="19" t="s">
        <v>27</v>
      </c>
      <c r="D60" s="53" t="s">
        <v>151</v>
      </c>
      <c r="E60" s="53" t="s">
        <v>149</v>
      </c>
      <c r="F60" s="53" t="s">
        <v>152</v>
      </c>
      <c r="G60" s="17" t="s">
        <v>27</v>
      </c>
      <c r="H60" s="54">
        <f>'Stream Table'!K36</f>
        <v>0.10800265146501373</v>
      </c>
      <c r="I60" s="55" t="s">
        <v>81</v>
      </c>
      <c r="J60" s="54">
        <f>'Stream Table'!H36</f>
        <v>5.6542907138690819E-2</v>
      </c>
      <c r="K60" t="s">
        <v>27</v>
      </c>
      <c r="L60" s="52">
        <f>(H60-J60)/I61</f>
        <v>2.5729872163161454E-2</v>
      </c>
      <c r="M60" t="s">
        <v>129</v>
      </c>
    </row>
    <row r="61" spans="1:13" x14ac:dyDescent="0.55000000000000004">
      <c r="D61" s="19"/>
      <c r="E61" s="23" t="s">
        <v>150</v>
      </c>
      <c r="F61" s="19"/>
      <c r="H61" s="19"/>
      <c r="I61" s="19">
        <v>2</v>
      </c>
      <c r="J61" s="19"/>
    </row>
    <row r="63" spans="1:13" x14ac:dyDescent="0.55000000000000004">
      <c r="B63" s="19" t="s">
        <v>153</v>
      </c>
      <c r="C63" s="19" t="s">
        <v>27</v>
      </c>
      <c r="D63" s="19">
        <f>6.61</f>
        <v>6.61</v>
      </c>
      <c r="E63" s="19" t="s">
        <v>108</v>
      </c>
      <c r="F63" s="19"/>
      <c r="G63" s="19"/>
      <c r="H63" s="19"/>
      <c r="I63" s="19"/>
      <c r="J63" s="19"/>
      <c r="K63" s="19"/>
    </row>
    <row r="64" spans="1:13" ht="14.7" thickBot="1" x14ac:dyDescent="0.6">
      <c r="B64" s="19" t="s">
        <v>154</v>
      </c>
      <c r="C64" s="19" t="s">
        <v>27</v>
      </c>
      <c r="D64" s="59">
        <v>6.61</v>
      </c>
      <c r="E64" s="57" t="s">
        <v>109</v>
      </c>
      <c r="F64" s="19" t="s">
        <v>28</v>
      </c>
      <c r="G64" s="59">
        <f>L60*1000</f>
        <v>25.729872163161453</v>
      </c>
      <c r="H64" s="57" t="s">
        <v>110</v>
      </c>
      <c r="I64" s="19" t="s">
        <v>27</v>
      </c>
      <c r="J64" s="19">
        <f>D64*G64</f>
        <v>170.0744549984972</v>
      </c>
      <c r="K64" s="19" t="s">
        <v>155</v>
      </c>
    </row>
    <row r="65" spans="1:14" ht="14.7" thickTop="1" x14ac:dyDescent="0.55000000000000004">
      <c r="B65" s="19"/>
      <c r="C65" s="19"/>
      <c r="D65" s="60"/>
      <c r="E65" s="58" t="s">
        <v>110</v>
      </c>
      <c r="F65" s="19"/>
      <c r="G65" s="60"/>
      <c r="H65" s="58" t="s">
        <v>57</v>
      </c>
      <c r="I65" s="19"/>
      <c r="J65" s="19"/>
      <c r="K65" s="19"/>
    </row>
    <row r="67" spans="1:14" x14ac:dyDescent="0.55000000000000004">
      <c r="B67" s="19" t="s">
        <v>225</v>
      </c>
      <c r="C67" s="19" t="s">
        <v>27</v>
      </c>
      <c r="D67" s="19" t="s">
        <v>89</v>
      </c>
      <c r="E67" s="19" t="s">
        <v>28</v>
      </c>
      <c r="F67" s="19" t="s">
        <v>36</v>
      </c>
      <c r="G67" s="19" t="s">
        <v>28</v>
      </c>
      <c r="H67" s="19" t="s">
        <v>226</v>
      </c>
      <c r="I67" s="19" t="s">
        <v>29</v>
      </c>
      <c r="J67" s="19" t="s">
        <v>114</v>
      </c>
      <c r="K67" s="19" t="s">
        <v>28</v>
      </c>
      <c r="L67" s="19" t="s">
        <v>223</v>
      </c>
      <c r="M67" s="19" t="s">
        <v>28</v>
      </c>
      <c r="N67" s="19" t="s">
        <v>226</v>
      </c>
    </row>
    <row r="68" spans="1:14" x14ac:dyDescent="0.55000000000000004">
      <c r="B68" s="19"/>
      <c r="C68" s="19" t="s">
        <v>27</v>
      </c>
      <c r="D68" s="19">
        <f>'Stream Table'!K8*1000</f>
        <v>0</v>
      </c>
      <c r="E68" s="19" t="s">
        <v>28</v>
      </c>
      <c r="F68" s="19">
        <v>0.25</v>
      </c>
      <c r="G68" s="19" t="s">
        <v>28</v>
      </c>
      <c r="H68" s="20">
        <f>D26</f>
        <v>63.608662349676734</v>
      </c>
      <c r="I68" s="19" t="s">
        <v>29</v>
      </c>
      <c r="J68" s="19">
        <f>('Stream Table'!K17-'Stream Table'!K8)*1000</f>
        <v>794393.6214380071</v>
      </c>
      <c r="K68" s="19" t="s">
        <v>28</v>
      </c>
      <c r="L68" s="19">
        <v>0.81</v>
      </c>
      <c r="M68" s="19"/>
      <c r="N68" s="20">
        <f>D26</f>
        <v>63.608662349676734</v>
      </c>
    </row>
    <row r="69" spans="1:14" x14ac:dyDescent="0.55000000000000004">
      <c r="B69" s="19"/>
      <c r="C69" s="19" t="s">
        <v>27</v>
      </c>
      <c r="D69" s="19">
        <f>D68*F68*H68+J68*L68*N68</f>
        <v>40929555.667417563</v>
      </c>
      <c r="E69" t="s">
        <v>97</v>
      </c>
    </row>
    <row r="70" spans="1:14" x14ac:dyDescent="0.55000000000000004">
      <c r="B70" s="19"/>
      <c r="C70" s="19" t="s">
        <v>27</v>
      </c>
      <c r="D70" s="20">
        <f>D69/1000</f>
        <v>40929.55566741756</v>
      </c>
      <c r="E70" t="s">
        <v>155</v>
      </c>
    </row>
    <row r="71" spans="1:14" x14ac:dyDescent="0.55000000000000004">
      <c r="A71" s="56" t="s">
        <v>44</v>
      </c>
      <c r="B71" s="19" t="s">
        <v>242</v>
      </c>
      <c r="C71" s="19" t="s">
        <v>27</v>
      </c>
      <c r="D71" s="20">
        <f>'4'!P56</f>
        <v>26656.944762687184</v>
      </c>
      <c r="E71" t="s">
        <v>155</v>
      </c>
    </row>
    <row r="72" spans="1:14" x14ac:dyDescent="0.55000000000000004">
      <c r="A72" t="s">
        <v>211</v>
      </c>
      <c r="B72" s="19"/>
      <c r="C72" s="19"/>
      <c r="D72" s="15"/>
      <c r="E72" s="19"/>
    </row>
    <row r="73" spans="1:14" x14ac:dyDescent="0.55000000000000004">
      <c r="B73" s="85" t="s">
        <v>239</v>
      </c>
      <c r="C73" s="85" t="s">
        <v>27</v>
      </c>
      <c r="D73" s="87">
        <f>J64+D70-D71</f>
        <v>14442.685359728872</v>
      </c>
      <c r="E73" s="75" t="s">
        <v>155</v>
      </c>
      <c r="F73" s="86"/>
      <c r="G73" s="7"/>
      <c r="H73" s="86"/>
      <c r="I73" s="86"/>
      <c r="J73" s="1"/>
      <c r="K73" s="86"/>
      <c r="L73" s="19"/>
      <c r="N73" s="19"/>
    </row>
    <row r="74" spans="1:14" x14ac:dyDescent="0.55000000000000004">
      <c r="D74" s="1"/>
      <c r="E74" s="86"/>
      <c r="F74" s="1"/>
      <c r="G74" s="1"/>
      <c r="H74" s="86"/>
      <c r="I74" s="1"/>
      <c r="J74" s="1"/>
      <c r="K74" s="86"/>
    </row>
  </sheetData>
  <mergeCells count="1">
    <mergeCell ref="D32:E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activeCell="J15" sqref="J1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214"/>
  <sheetViews>
    <sheetView topLeftCell="A136" zoomScaleNormal="100" workbookViewId="0">
      <selection activeCell="D73" sqref="D73"/>
    </sheetView>
  </sheetViews>
  <sheetFormatPr defaultRowHeight="14.4" x14ac:dyDescent="0.55000000000000004"/>
  <cols>
    <col min="1" max="1" width="11.1015625" customWidth="1"/>
    <col min="2" max="2" width="16" customWidth="1"/>
    <col min="3" max="3" width="14.1015625" bestFit="1" customWidth="1"/>
    <col min="4" max="4" width="13.1015625" customWidth="1"/>
    <col min="5" max="5" width="9.3125" customWidth="1"/>
    <col min="6" max="6" width="11.89453125" customWidth="1"/>
    <col min="7" max="7" width="9.89453125" customWidth="1"/>
    <col min="8" max="8" width="9" bestFit="1" customWidth="1"/>
    <col min="9" max="9" width="11.3125" customWidth="1"/>
    <col min="10" max="10" width="8.1015625" customWidth="1"/>
    <col min="11" max="11" width="10.7890625" bestFit="1" customWidth="1"/>
    <col min="12" max="12" width="11" bestFit="1" customWidth="1"/>
    <col min="13" max="13" width="8.68359375" customWidth="1"/>
    <col min="15" max="15" width="8" customWidth="1"/>
    <col min="16" max="16" width="6.5234375" customWidth="1"/>
    <col min="17" max="17" width="5" bestFit="1" customWidth="1"/>
  </cols>
  <sheetData>
    <row r="2" spans="1:18" x14ac:dyDescent="0.55000000000000004">
      <c r="A2" s="140" t="s">
        <v>283</v>
      </c>
      <c r="B2" s="140"/>
      <c r="C2" s="140"/>
    </row>
    <row r="3" spans="1:18" x14ac:dyDescent="0.55000000000000004">
      <c r="A3" s="140"/>
      <c r="B3" s="140"/>
      <c r="C3" s="140"/>
    </row>
    <row r="4" spans="1:18" x14ac:dyDescent="0.55000000000000004">
      <c r="A4" s="140"/>
      <c r="B4" s="140"/>
      <c r="C4" s="140"/>
    </row>
    <row r="6" spans="1:18" x14ac:dyDescent="0.55000000000000004">
      <c r="B6" s="141" t="s">
        <v>277</v>
      </c>
      <c r="C6" s="141"/>
      <c r="D6" t="s">
        <v>206</v>
      </c>
      <c r="E6" s="56">
        <v>23</v>
      </c>
      <c r="G6" s="38" t="s">
        <v>296</v>
      </c>
      <c r="K6" t="s">
        <v>297</v>
      </c>
      <c r="L6" t="s">
        <v>27</v>
      </c>
      <c r="M6">
        <v>0.86399999999999999</v>
      </c>
      <c r="N6" t="s">
        <v>298</v>
      </c>
      <c r="O6" t="s">
        <v>27</v>
      </c>
      <c r="P6" s="52">
        <f>M6/4.184</f>
        <v>0.20650095602294455</v>
      </c>
      <c r="Q6" t="s">
        <v>26</v>
      </c>
    </row>
    <row r="7" spans="1:18" x14ac:dyDescent="0.55000000000000004">
      <c r="B7" s="141" t="s">
        <v>278</v>
      </c>
      <c r="C7" s="141"/>
      <c r="E7" t="s">
        <v>267</v>
      </c>
      <c r="K7" t="s">
        <v>299</v>
      </c>
      <c r="L7" t="s">
        <v>27</v>
      </c>
      <c r="M7">
        <v>128.19999999999999</v>
      </c>
      <c r="N7" t="s">
        <v>300</v>
      </c>
    </row>
    <row r="8" spans="1:18" x14ac:dyDescent="0.55000000000000004">
      <c r="L8" t="s">
        <v>27</v>
      </c>
      <c r="M8">
        <f>M7/(142.04/1000)</f>
        <v>902.56265840608273</v>
      </c>
      <c r="N8" t="s">
        <v>301</v>
      </c>
    </row>
    <row r="9" spans="1:18" x14ac:dyDescent="0.55000000000000004">
      <c r="B9" s="56">
        <v>22</v>
      </c>
      <c r="F9" s="19">
        <v>31</v>
      </c>
      <c r="L9" t="s">
        <v>27</v>
      </c>
      <c r="M9">
        <f>M8/4186.8</f>
        <v>0.21557338740949716</v>
      </c>
      <c r="N9" t="s">
        <v>26</v>
      </c>
    </row>
    <row r="11" spans="1:18" x14ac:dyDescent="0.55000000000000004">
      <c r="F11" s="19" t="s">
        <v>266</v>
      </c>
    </row>
    <row r="14" spans="1:18" x14ac:dyDescent="0.55000000000000004">
      <c r="A14" t="s">
        <v>295</v>
      </c>
      <c r="B14" s="16">
        <f>'Stream Table'!Z8</f>
        <v>67.903915663609283</v>
      </c>
      <c r="C14" t="s">
        <v>90</v>
      </c>
      <c r="D14" t="s">
        <v>243</v>
      </c>
      <c r="E14" t="s">
        <v>28</v>
      </c>
      <c r="F14" s="88">
        <v>1</v>
      </c>
      <c r="G14" s="88" t="s">
        <v>244</v>
      </c>
      <c r="H14" s="88" t="s">
        <v>243</v>
      </c>
      <c r="I14" t="s">
        <v>28</v>
      </c>
      <c r="J14" s="88">
        <v>1</v>
      </c>
      <c r="K14" s="88" t="s">
        <v>244</v>
      </c>
      <c r="L14" s="88" t="s">
        <v>245</v>
      </c>
      <c r="M14" s="4" t="s">
        <v>28</v>
      </c>
      <c r="N14" s="1">
        <v>18.02</v>
      </c>
      <c r="O14" s="4" t="s">
        <v>293</v>
      </c>
      <c r="P14" s="4" t="s">
        <v>27</v>
      </c>
      <c r="Q14" s="16">
        <f>B14*F14/F15*J14/J15*N14/N15</f>
        <v>7.2828964268349017</v>
      </c>
      <c r="R14" t="s">
        <v>294</v>
      </c>
    </row>
    <row r="15" spans="1:18" x14ac:dyDescent="0.55000000000000004">
      <c r="F15">
        <f>84.007</f>
        <v>84.007000000000005</v>
      </c>
      <c r="G15" t="s">
        <v>60</v>
      </c>
      <c r="H15" t="s">
        <v>243</v>
      </c>
      <c r="J15">
        <v>2</v>
      </c>
      <c r="K15" t="s">
        <v>244</v>
      </c>
      <c r="L15" t="s">
        <v>243</v>
      </c>
      <c r="N15">
        <v>1</v>
      </c>
      <c r="O15" t="s">
        <v>244</v>
      </c>
    </row>
    <row r="17" spans="2:12" x14ac:dyDescent="0.55000000000000004">
      <c r="C17" s="141" t="s">
        <v>290</v>
      </c>
      <c r="D17" s="141"/>
      <c r="E17" s="141"/>
      <c r="H17" s="141" t="s">
        <v>291</v>
      </c>
      <c r="I17" s="141"/>
      <c r="J17" s="141"/>
    </row>
    <row r="18" spans="2:12" x14ac:dyDescent="0.55000000000000004">
      <c r="C18" t="s">
        <v>314</v>
      </c>
      <c r="D18" t="s">
        <v>315</v>
      </c>
      <c r="E18" t="s">
        <v>316</v>
      </c>
      <c r="H18" t="s">
        <v>289</v>
      </c>
      <c r="I18" t="s">
        <v>292</v>
      </c>
      <c r="J18" t="s">
        <v>316</v>
      </c>
    </row>
    <row r="19" spans="2:12" x14ac:dyDescent="0.55000000000000004">
      <c r="C19" t="s">
        <v>17</v>
      </c>
      <c r="D19" t="s">
        <v>313</v>
      </c>
      <c r="E19" t="s">
        <v>317</v>
      </c>
      <c r="H19" t="s">
        <v>17</v>
      </c>
      <c r="I19" t="s">
        <v>313</v>
      </c>
      <c r="J19" t="s">
        <v>317</v>
      </c>
    </row>
    <row r="20" spans="2:12" x14ac:dyDescent="0.55000000000000004">
      <c r="B20" t="s">
        <v>281</v>
      </c>
      <c r="H20" s="15">
        <f>'Stream Table'!AJ6</f>
        <v>42.832484090785961</v>
      </c>
      <c r="I20">
        <f>0.28*(180-25)</f>
        <v>43.400000000000006</v>
      </c>
      <c r="J20" s="16">
        <f>I20*H20</f>
        <v>1858.9298095401109</v>
      </c>
    </row>
    <row r="21" spans="2:12" x14ac:dyDescent="0.55000000000000004">
      <c r="B21" t="s">
        <v>9</v>
      </c>
      <c r="C21" s="16">
        <f>'Stream Table'!Z7</f>
        <v>0.113</v>
      </c>
      <c r="D21">
        <v>0</v>
      </c>
      <c r="E21">
        <f>C21*D21</f>
        <v>0</v>
      </c>
      <c r="J21" s="15"/>
    </row>
    <row r="22" spans="2:12" x14ac:dyDescent="0.55000000000000004">
      <c r="B22" t="s">
        <v>8</v>
      </c>
      <c r="C22" s="16">
        <f>'Stream Table'!Z8</f>
        <v>67.903915663609283</v>
      </c>
      <c r="D22">
        <v>0</v>
      </c>
      <c r="E22">
        <f t="shared" ref="E22:E29" si="0">C22*D22</f>
        <v>0</v>
      </c>
      <c r="J22" s="15"/>
    </row>
    <row r="23" spans="2:12" x14ac:dyDescent="0.55000000000000004">
      <c r="B23" t="s">
        <v>6</v>
      </c>
      <c r="C23">
        <f>'Stream Table'!Z10</f>
        <v>5.6000000000000001E-2</v>
      </c>
      <c r="D23">
        <v>0</v>
      </c>
      <c r="E23">
        <f t="shared" si="0"/>
        <v>0</v>
      </c>
      <c r="H23">
        <f>C23</f>
        <v>5.6000000000000001E-2</v>
      </c>
      <c r="I23" s="15">
        <f>P6*(180-25)</f>
        <v>32.007648183556405</v>
      </c>
      <c r="J23" s="15">
        <f>I23*H23</f>
        <v>1.7924282982791588</v>
      </c>
    </row>
    <row r="24" spans="2:12" x14ac:dyDescent="0.55000000000000004">
      <c r="B24" t="s">
        <v>5</v>
      </c>
      <c r="C24">
        <f>'Stream Table'!Z11</f>
        <v>1.2E-2</v>
      </c>
      <c r="D24">
        <v>0</v>
      </c>
      <c r="E24">
        <f t="shared" si="0"/>
        <v>0</v>
      </c>
      <c r="H24">
        <f>C24</f>
        <v>1.2E-2</v>
      </c>
      <c r="I24" s="15">
        <f>M9*(180-25)</f>
        <v>33.413875048472057</v>
      </c>
      <c r="J24" s="15">
        <f t="shared" ref="J24:J29" si="1">I24*H24</f>
        <v>0.40096650058166472</v>
      </c>
    </row>
    <row r="25" spans="2:12" x14ac:dyDescent="0.55000000000000004">
      <c r="B25" t="s">
        <v>287</v>
      </c>
      <c r="C25" s="16">
        <f>'Stream Table'!Z12</f>
        <v>6.53</v>
      </c>
      <c r="D25">
        <v>0</v>
      </c>
      <c r="E25">
        <f t="shared" si="0"/>
        <v>0</v>
      </c>
      <c r="H25" s="16"/>
      <c r="I25" s="15"/>
      <c r="J25" s="15"/>
    </row>
    <row r="26" spans="2:12" x14ac:dyDescent="0.55000000000000004">
      <c r="B26" t="s">
        <v>3</v>
      </c>
      <c r="H26" s="16">
        <f>'Stream Table'!AA13</f>
        <v>17.786918520810435</v>
      </c>
      <c r="I26" s="15">
        <f>E48</f>
        <v>33.754892980373199</v>
      </c>
      <c r="J26" s="15">
        <f t="shared" si="1"/>
        <v>600.39553112057422</v>
      </c>
    </row>
    <row r="27" spans="2:12" x14ac:dyDescent="0.55000000000000004">
      <c r="B27" t="s">
        <v>288</v>
      </c>
      <c r="H27" s="16">
        <f>C25+Q14</f>
        <v>13.812896426834902</v>
      </c>
      <c r="I27" s="15">
        <f>E66</f>
        <v>70.420559583682234</v>
      </c>
      <c r="J27" s="15">
        <f t="shared" si="1"/>
        <v>972.71189584915862</v>
      </c>
    </row>
    <row r="28" spans="2:12" x14ac:dyDescent="0.55000000000000004">
      <c r="B28" t="s">
        <v>258</v>
      </c>
      <c r="C28" s="15">
        <f>'3'!P14*28</f>
        <v>1.2190823501280488</v>
      </c>
      <c r="D28" s="52">
        <f>E42</f>
        <v>0.49612459233004375</v>
      </c>
      <c r="E28" s="15">
        <f t="shared" si="0"/>
        <v>0.6048167339740298</v>
      </c>
      <c r="H28" s="15">
        <f>C28</f>
        <v>1.2190823501280488</v>
      </c>
      <c r="I28" s="15">
        <f>E60</f>
        <v>38.755455581974076</v>
      </c>
      <c r="J28" s="15">
        <f t="shared" si="1"/>
        <v>47.24609187115616</v>
      </c>
    </row>
    <row r="29" spans="2:12" x14ac:dyDescent="0.55000000000000004">
      <c r="B29" t="s">
        <v>257</v>
      </c>
      <c r="C29" s="15">
        <f>'3'!P13*32</f>
        <v>0.37035413168447051</v>
      </c>
      <c r="D29" s="52">
        <f>E36</f>
        <v>0.4391281320938199</v>
      </c>
      <c r="E29" s="15">
        <f t="shared" si="0"/>
        <v>0.16263291805983013</v>
      </c>
      <c r="H29" s="15">
        <f>C29</f>
        <v>0.37035413168447051</v>
      </c>
      <c r="I29" s="15">
        <f>E54</f>
        <v>34.977302541273225</v>
      </c>
      <c r="J29" s="15">
        <f t="shared" si="1"/>
        <v>12.953988511338268</v>
      </c>
    </row>
    <row r="30" spans="2:12" x14ac:dyDescent="0.55000000000000004">
      <c r="D30" t="s">
        <v>16</v>
      </c>
      <c r="E30">
        <f>SUM(E20:E29)</f>
        <v>0.76744965203385995</v>
      </c>
      <c r="I30" t="s">
        <v>16</v>
      </c>
      <c r="J30" s="16">
        <f>SUM(J20:J29)</f>
        <v>3494.4307116911991</v>
      </c>
    </row>
    <row r="31" spans="2:12" ht="14.7" thickBot="1" x14ac:dyDescent="0.6"/>
    <row r="32" spans="2:12" x14ac:dyDescent="0.55000000000000004">
      <c r="B32" s="96" t="s">
        <v>307</v>
      </c>
      <c r="C32" s="97" t="s">
        <v>246</v>
      </c>
      <c r="D32" s="98" t="s">
        <v>42</v>
      </c>
      <c r="E32" s="97" t="s">
        <v>247</v>
      </c>
      <c r="F32" s="97" t="s">
        <v>248</v>
      </c>
      <c r="G32" s="97" t="s">
        <v>249</v>
      </c>
      <c r="H32" s="97" t="s">
        <v>250</v>
      </c>
      <c r="I32" s="97" t="s">
        <v>251</v>
      </c>
      <c r="J32" s="97" t="s">
        <v>252</v>
      </c>
      <c r="K32" s="97" t="s">
        <v>253</v>
      </c>
      <c r="L32" s="99" t="s">
        <v>254</v>
      </c>
    </row>
    <row r="33" spans="2:15" x14ac:dyDescent="0.55000000000000004">
      <c r="B33" s="100"/>
      <c r="C33" s="1">
        <v>25</v>
      </c>
      <c r="D33" s="2">
        <v>27</v>
      </c>
      <c r="E33" s="1">
        <v>29.1</v>
      </c>
      <c r="F33" s="1">
        <v>1.1579999999999999</v>
      </c>
      <c r="G33" s="1">
        <v>-0.60760000000000003</v>
      </c>
      <c r="H33" s="1">
        <v>1.3109999999999999</v>
      </c>
      <c r="I33" s="1">
        <f>E33*10^-3</f>
        <v>2.9100000000000001E-2</v>
      </c>
      <c r="J33" s="1">
        <f>F33*10^-5</f>
        <v>1.1580000000000001E-5</v>
      </c>
      <c r="K33" s="1">
        <f>G33*10^-8</f>
        <v>-6.0760000000000001E-9</v>
      </c>
      <c r="L33" s="101">
        <f>H33*10^-12</f>
        <v>1.311E-12</v>
      </c>
    </row>
    <row r="34" spans="2:15" x14ac:dyDescent="0.55000000000000004">
      <c r="B34" s="100"/>
      <c r="C34" s="1" t="s">
        <v>259</v>
      </c>
      <c r="D34" s="1" t="s">
        <v>27</v>
      </c>
      <c r="E34" s="95">
        <f>(I33*D33+((J33*D33^2)/2)+((K33*D33^3)/3)+((L33*D33^4)/4))-(I33*C33+((J33*C33^2)/2)+((K33*C33^3)/3)+((L33*C33^4)/4))</f>
        <v>5.8793987349777366E-2</v>
      </c>
      <c r="F34" s="1" t="s">
        <v>256</v>
      </c>
      <c r="G34" s="1"/>
      <c r="H34" s="1"/>
      <c r="I34" s="1"/>
      <c r="J34" s="1"/>
      <c r="K34" s="1"/>
      <c r="L34" s="101"/>
    </row>
    <row r="35" spans="2:15" x14ac:dyDescent="0.55000000000000004">
      <c r="B35" s="102"/>
      <c r="C35" s="1"/>
      <c r="D35" s="1" t="s">
        <v>27</v>
      </c>
      <c r="E35" s="1">
        <f>E34/4.184</f>
        <v>1.4052100227002238E-2</v>
      </c>
      <c r="F35" s="95" t="s">
        <v>108</v>
      </c>
      <c r="G35" s="1"/>
      <c r="H35" s="1"/>
      <c r="I35" s="1"/>
      <c r="J35" s="1"/>
      <c r="K35" s="7"/>
      <c r="L35" s="101"/>
      <c r="M35" s="1"/>
      <c r="N35" s="1"/>
      <c r="O35" s="1"/>
    </row>
    <row r="36" spans="2:15" x14ac:dyDescent="0.55000000000000004">
      <c r="B36" s="100"/>
      <c r="C36" s="1"/>
      <c r="D36" s="4" t="s">
        <v>27</v>
      </c>
      <c r="E36" s="95">
        <f>E35/(32/1000)</f>
        <v>0.4391281320938199</v>
      </c>
      <c r="F36" s="1" t="s">
        <v>302</v>
      </c>
      <c r="G36" s="1"/>
      <c r="H36" s="1"/>
      <c r="I36" s="1"/>
      <c r="J36" s="1"/>
      <c r="K36" s="1"/>
      <c r="L36" s="101"/>
      <c r="M36" s="1"/>
      <c r="N36" s="1"/>
      <c r="O36" s="1"/>
    </row>
    <row r="37" spans="2:15" x14ac:dyDescent="0.55000000000000004">
      <c r="B37" s="100"/>
      <c r="C37" s="1"/>
      <c r="D37" s="1"/>
      <c r="E37" s="1"/>
      <c r="F37" s="1"/>
      <c r="G37" s="1"/>
      <c r="H37" s="1"/>
      <c r="I37" s="1"/>
      <c r="J37" s="1"/>
      <c r="K37" s="1"/>
      <c r="L37" s="101"/>
    </row>
    <row r="38" spans="2:15" x14ac:dyDescent="0.55000000000000004">
      <c r="B38" s="100" t="s">
        <v>308</v>
      </c>
      <c r="C38" s="1" t="s">
        <v>246</v>
      </c>
      <c r="D38" s="2" t="s">
        <v>42</v>
      </c>
      <c r="E38" s="1" t="s">
        <v>247</v>
      </c>
      <c r="F38" s="1" t="s">
        <v>248</v>
      </c>
      <c r="G38" s="1" t="s">
        <v>249</v>
      </c>
      <c r="H38" s="1" t="s">
        <v>250</v>
      </c>
      <c r="I38" s="1" t="s">
        <v>251</v>
      </c>
      <c r="J38" s="1" t="s">
        <v>252</v>
      </c>
      <c r="K38" s="1" t="s">
        <v>253</v>
      </c>
      <c r="L38" s="101" t="s">
        <v>254</v>
      </c>
    </row>
    <row r="39" spans="2:15" x14ac:dyDescent="0.55000000000000004">
      <c r="B39" s="100"/>
      <c r="C39" s="1">
        <v>25</v>
      </c>
      <c r="D39" s="2">
        <v>27</v>
      </c>
      <c r="E39" s="1">
        <v>29</v>
      </c>
      <c r="F39" s="1">
        <v>0.21990000000000001</v>
      </c>
      <c r="G39" s="1">
        <v>0.57230000000000003</v>
      </c>
      <c r="H39" s="1">
        <v>-2.871</v>
      </c>
      <c r="I39" s="1">
        <f>E39*10^-3</f>
        <v>2.9000000000000001E-2</v>
      </c>
      <c r="J39" s="1">
        <f>F39*10^-5</f>
        <v>2.1990000000000005E-6</v>
      </c>
      <c r="K39" s="1">
        <f>G39*10^-8</f>
        <v>5.7230000000000002E-9</v>
      </c>
      <c r="L39" s="101">
        <f>H39*10^-12</f>
        <v>-2.8709999999999998E-12</v>
      </c>
    </row>
    <row r="40" spans="2:15" x14ac:dyDescent="0.55000000000000004">
      <c r="B40" s="100"/>
      <c r="C40" s="1" t="s">
        <v>260</v>
      </c>
      <c r="D40" s="2" t="s">
        <v>27</v>
      </c>
      <c r="E40" s="95">
        <f>(I39*D39+((J39*D39^2)/2)+((K39*D39^3)/3)+((L39*D39^4)/4))-(I39*C39+((J39*C39^2)/2)+((K39*C39^3)/3)+((L39*C39^4)/4))</f>
        <v>5.8121988240649292E-2</v>
      </c>
      <c r="F40" s="1" t="s">
        <v>256</v>
      </c>
      <c r="G40" s="1"/>
      <c r="H40" s="1"/>
      <c r="I40" s="1"/>
      <c r="J40" s="1"/>
      <c r="K40" s="1"/>
      <c r="L40" s="101"/>
    </row>
    <row r="41" spans="2:15" x14ac:dyDescent="0.55000000000000004">
      <c r="B41" s="102"/>
      <c r="C41" s="1"/>
      <c r="D41" s="2" t="s">
        <v>27</v>
      </c>
      <c r="E41" s="95">
        <f>E40/4.184</f>
        <v>1.3891488585241226E-2</v>
      </c>
      <c r="F41" s="95" t="s">
        <v>108</v>
      </c>
      <c r="G41" s="1"/>
      <c r="H41" s="1"/>
      <c r="I41" s="1"/>
      <c r="J41" s="1"/>
      <c r="K41" s="7"/>
      <c r="L41" s="101"/>
      <c r="M41" s="1"/>
      <c r="N41" s="1"/>
      <c r="O41" s="1"/>
    </row>
    <row r="42" spans="2:15" x14ac:dyDescent="0.55000000000000004">
      <c r="B42" s="100"/>
      <c r="C42" s="1"/>
      <c r="D42" s="2" t="s">
        <v>27</v>
      </c>
      <c r="E42" s="95">
        <f>E41/(28/1000)</f>
        <v>0.49612459233004375</v>
      </c>
      <c r="F42" s="1" t="s">
        <v>302</v>
      </c>
      <c r="G42" s="1"/>
      <c r="H42" s="1"/>
      <c r="I42" s="1"/>
      <c r="J42" s="1"/>
      <c r="K42" s="1"/>
      <c r="L42" s="101"/>
      <c r="M42" s="1"/>
      <c r="N42" s="1"/>
      <c r="O42" s="1"/>
    </row>
    <row r="43" spans="2:15" x14ac:dyDescent="0.55000000000000004">
      <c r="B43" s="100"/>
      <c r="C43" s="1"/>
      <c r="D43" s="1"/>
      <c r="E43" s="1"/>
      <c r="F43" s="1"/>
      <c r="G43" s="1"/>
      <c r="H43" s="1"/>
      <c r="I43" s="1"/>
      <c r="J43" s="1"/>
      <c r="K43" s="1"/>
      <c r="L43" s="101"/>
    </row>
    <row r="44" spans="2:15" x14ac:dyDescent="0.55000000000000004">
      <c r="B44" s="100" t="s">
        <v>309</v>
      </c>
      <c r="C44" s="1" t="s">
        <v>246</v>
      </c>
      <c r="D44" s="2" t="s">
        <v>42</v>
      </c>
      <c r="E44" s="1" t="s">
        <v>247</v>
      </c>
      <c r="F44" s="1" t="s">
        <v>248</v>
      </c>
      <c r="G44" s="1" t="s">
        <v>249</v>
      </c>
      <c r="H44" s="1" t="s">
        <v>250</v>
      </c>
      <c r="I44" s="1" t="s">
        <v>251</v>
      </c>
      <c r="J44" s="1" t="s">
        <v>252</v>
      </c>
      <c r="K44" s="1" t="s">
        <v>253</v>
      </c>
      <c r="L44" s="101" t="s">
        <v>254</v>
      </c>
    </row>
    <row r="45" spans="2:15" x14ac:dyDescent="0.55000000000000004">
      <c r="B45" s="100"/>
      <c r="C45" s="1">
        <v>25</v>
      </c>
      <c r="D45" s="2">
        <v>180</v>
      </c>
      <c r="E45" s="1">
        <v>36.11</v>
      </c>
      <c r="F45" s="1">
        <v>4.2329999999999997</v>
      </c>
      <c r="G45" s="1">
        <v>-2.887</v>
      </c>
      <c r="H45" s="1">
        <v>7.4640000000000004</v>
      </c>
      <c r="I45" s="1">
        <f>E45*10^-3</f>
        <v>3.6110000000000003E-2</v>
      </c>
      <c r="J45" s="1">
        <f>F45*10^-5</f>
        <v>4.2330000000000003E-5</v>
      </c>
      <c r="K45" s="1">
        <f>G45*10^-8</f>
        <v>-2.887E-8</v>
      </c>
      <c r="L45" s="101">
        <f>H45*10^-12</f>
        <v>7.4639999999999997E-12</v>
      </c>
    </row>
    <row r="46" spans="2:15" x14ac:dyDescent="0.55000000000000004">
      <c r="B46" s="100"/>
      <c r="C46" s="1" t="s">
        <v>255</v>
      </c>
      <c r="D46" s="2" t="s">
        <v>27</v>
      </c>
      <c r="E46" s="7">
        <f>(I45*D45+((J45*D45^2)/2)+((K45*D45^3)/3)+((L45*D45^4)/4))-(I45*C45+((J45*C45^2)/2)+((K45*C45^3)/3)+((L45*C45^4)/4))</f>
        <v>6.2155530828370837</v>
      </c>
      <c r="F46" s="1" t="s">
        <v>256</v>
      </c>
      <c r="G46" s="1"/>
      <c r="H46" s="1"/>
      <c r="I46" s="1"/>
      <c r="J46" s="1"/>
      <c r="K46" s="1"/>
      <c r="L46" s="101"/>
    </row>
    <row r="47" spans="2:15" x14ac:dyDescent="0.55000000000000004">
      <c r="B47" s="100"/>
      <c r="C47" s="1"/>
      <c r="D47" s="2" t="s">
        <v>27</v>
      </c>
      <c r="E47" s="1">
        <f>E46/4.184</f>
        <v>1.4855528400662246</v>
      </c>
      <c r="F47" s="1" t="s">
        <v>108</v>
      </c>
      <c r="G47" s="1"/>
      <c r="H47" s="1"/>
      <c r="I47" s="1"/>
      <c r="J47" s="1"/>
      <c r="K47" s="1"/>
      <c r="L47" s="101"/>
    </row>
    <row r="48" spans="2:15" x14ac:dyDescent="0.55000000000000004">
      <c r="B48" s="100"/>
      <c r="C48" s="1"/>
      <c r="D48" s="2" t="s">
        <v>27</v>
      </c>
      <c r="E48" s="1">
        <f>E47/(44.01/1000)</f>
        <v>33.754892980373199</v>
      </c>
      <c r="F48" s="1" t="s">
        <v>302</v>
      </c>
      <c r="G48" s="1"/>
      <c r="H48" s="1"/>
      <c r="I48" s="1"/>
      <c r="J48" s="1"/>
      <c r="K48" s="1"/>
      <c r="L48" s="101"/>
    </row>
    <row r="49" spans="2:12" x14ac:dyDescent="0.55000000000000004">
      <c r="B49" s="100"/>
      <c r="C49" s="1"/>
      <c r="D49" s="1"/>
      <c r="E49" s="1"/>
      <c r="F49" s="1"/>
      <c r="G49" s="1"/>
      <c r="H49" s="1"/>
      <c r="I49" s="1"/>
      <c r="J49" s="1"/>
      <c r="K49" s="1"/>
      <c r="L49" s="101"/>
    </row>
    <row r="50" spans="2:12" x14ac:dyDescent="0.55000000000000004">
      <c r="B50" s="100" t="s">
        <v>310</v>
      </c>
      <c r="C50" s="1" t="s">
        <v>246</v>
      </c>
      <c r="D50" s="2" t="s">
        <v>42</v>
      </c>
      <c r="E50" s="1" t="s">
        <v>247</v>
      </c>
      <c r="F50" s="1" t="s">
        <v>248</v>
      </c>
      <c r="G50" s="1" t="s">
        <v>249</v>
      </c>
      <c r="H50" s="1" t="s">
        <v>250</v>
      </c>
      <c r="I50" s="1" t="s">
        <v>251</v>
      </c>
      <c r="J50" s="1" t="s">
        <v>252</v>
      </c>
      <c r="K50" s="1" t="s">
        <v>253</v>
      </c>
      <c r="L50" s="101" t="s">
        <v>254</v>
      </c>
    </row>
    <row r="51" spans="2:12" x14ac:dyDescent="0.55000000000000004">
      <c r="B51" s="100"/>
      <c r="C51" s="1">
        <v>25</v>
      </c>
      <c r="D51" s="2">
        <v>180</v>
      </c>
      <c r="E51" s="1">
        <v>29.1</v>
      </c>
      <c r="F51" s="1">
        <v>1.1579999999999999</v>
      </c>
      <c r="G51" s="1">
        <v>-0.60760000000000003</v>
      </c>
      <c r="H51" s="1">
        <v>1.3109999999999999</v>
      </c>
      <c r="I51" s="1">
        <f>E51*10^-3</f>
        <v>2.9100000000000001E-2</v>
      </c>
      <c r="J51" s="1">
        <f>F51*10^-5</f>
        <v>1.1580000000000001E-5</v>
      </c>
      <c r="K51" s="1">
        <f>G51*10^-8</f>
        <v>-6.0760000000000001E-9</v>
      </c>
      <c r="L51" s="101">
        <f>H51*10^-12</f>
        <v>1.311E-12</v>
      </c>
    </row>
    <row r="52" spans="2:12" x14ac:dyDescent="0.55000000000000004">
      <c r="B52" s="100"/>
      <c r="C52" s="1" t="s">
        <v>259</v>
      </c>
      <c r="D52" s="1" t="s">
        <v>27</v>
      </c>
      <c r="E52" s="95">
        <f>(I51*D51+((J51*D51^2)/2)+((K51*D51^3)/3)+((L51*D51^4)/4))-(I51*C51+((J51*C51^2)/2)+((K51*C51^3)/3)+((L51*C51^4)/4))</f>
        <v>4.6830410826459898</v>
      </c>
      <c r="F52" s="1" t="s">
        <v>256</v>
      </c>
      <c r="G52" s="1"/>
      <c r="H52" s="1"/>
      <c r="I52" s="1"/>
      <c r="J52" s="1"/>
      <c r="K52" s="1"/>
      <c r="L52" s="101"/>
    </row>
    <row r="53" spans="2:12" x14ac:dyDescent="0.55000000000000004">
      <c r="B53" s="102"/>
      <c r="C53" s="1"/>
      <c r="D53" s="1" t="s">
        <v>27</v>
      </c>
      <c r="E53" s="1">
        <f>E52/4.184</f>
        <v>1.1192736813207431</v>
      </c>
      <c r="F53" s="95" t="s">
        <v>108</v>
      </c>
      <c r="G53" s="1"/>
      <c r="H53" s="1"/>
      <c r="I53" s="1"/>
      <c r="J53" s="1"/>
      <c r="K53" s="7"/>
      <c r="L53" s="101"/>
    </row>
    <row r="54" spans="2:12" x14ac:dyDescent="0.55000000000000004">
      <c r="B54" s="100"/>
      <c r="C54" s="1"/>
      <c r="D54" s="4" t="s">
        <v>27</v>
      </c>
      <c r="E54" s="95">
        <f>E53/(32/1000)</f>
        <v>34.977302541273225</v>
      </c>
      <c r="F54" s="1" t="s">
        <v>302</v>
      </c>
      <c r="G54" s="1"/>
      <c r="H54" s="1"/>
      <c r="I54" s="1"/>
      <c r="J54" s="1"/>
      <c r="K54" s="1"/>
      <c r="L54" s="101"/>
    </row>
    <row r="55" spans="2:12" x14ac:dyDescent="0.55000000000000004">
      <c r="B55" s="100"/>
      <c r="C55" s="1"/>
      <c r="D55" s="1"/>
      <c r="E55" s="1"/>
      <c r="F55" s="1"/>
      <c r="G55" s="1"/>
      <c r="H55" s="1"/>
      <c r="I55" s="1"/>
      <c r="J55" s="1"/>
      <c r="K55" s="1"/>
      <c r="L55" s="101"/>
    </row>
    <row r="56" spans="2:12" x14ac:dyDescent="0.55000000000000004">
      <c r="B56" s="100" t="s">
        <v>311</v>
      </c>
      <c r="C56" s="1" t="s">
        <v>246</v>
      </c>
      <c r="D56" s="2" t="s">
        <v>42</v>
      </c>
      <c r="E56" s="1" t="s">
        <v>247</v>
      </c>
      <c r="F56" s="1" t="s">
        <v>248</v>
      </c>
      <c r="G56" s="1" t="s">
        <v>249</v>
      </c>
      <c r="H56" s="1" t="s">
        <v>250</v>
      </c>
      <c r="I56" s="1" t="s">
        <v>251</v>
      </c>
      <c r="J56" s="1" t="s">
        <v>252</v>
      </c>
      <c r="K56" s="1" t="s">
        <v>253</v>
      </c>
      <c r="L56" s="101" t="s">
        <v>254</v>
      </c>
    </row>
    <row r="57" spans="2:12" x14ac:dyDescent="0.55000000000000004">
      <c r="B57" s="100"/>
      <c r="C57" s="1">
        <v>25</v>
      </c>
      <c r="D57" s="2">
        <v>180</v>
      </c>
      <c r="E57" s="1">
        <v>29</v>
      </c>
      <c r="F57" s="1">
        <v>0.21990000000000001</v>
      </c>
      <c r="G57" s="1">
        <v>0.57230000000000003</v>
      </c>
      <c r="H57" s="1">
        <v>-2.871</v>
      </c>
      <c r="I57" s="1">
        <f>E57*10^-3</f>
        <v>2.9000000000000001E-2</v>
      </c>
      <c r="J57" s="1">
        <f>F57*10^-5</f>
        <v>2.1990000000000005E-6</v>
      </c>
      <c r="K57" s="1">
        <f>G57*10^-8</f>
        <v>5.7230000000000002E-9</v>
      </c>
      <c r="L57" s="101">
        <f>H57*10^-12</f>
        <v>-2.8709999999999998E-12</v>
      </c>
    </row>
    <row r="58" spans="2:12" x14ac:dyDescent="0.55000000000000004">
      <c r="B58" s="100"/>
      <c r="C58" s="1" t="s">
        <v>260</v>
      </c>
      <c r="D58" s="2" t="s">
        <v>27</v>
      </c>
      <c r="E58" s="95">
        <f>(I57*D57+((J57*D57^2)/2)+((K57*D57^3)/3)+((L57*D57^4)/4))-(I57*C57+((J57*C57^2)/2)+((K57*C57^3)/3)+((L57*C57^4)/4))</f>
        <v>4.5402791323394274</v>
      </c>
      <c r="F58" s="1" t="s">
        <v>256</v>
      </c>
      <c r="G58" s="1"/>
      <c r="H58" s="1"/>
      <c r="I58" s="1"/>
      <c r="J58" s="1"/>
      <c r="K58" s="1"/>
      <c r="L58" s="101"/>
    </row>
    <row r="59" spans="2:12" x14ac:dyDescent="0.55000000000000004">
      <c r="B59" s="102"/>
      <c r="C59" s="1"/>
      <c r="D59" s="2" t="s">
        <v>27</v>
      </c>
      <c r="E59" s="95">
        <f>E58/4.184</f>
        <v>1.0851527562952741</v>
      </c>
      <c r="F59" s="95" t="s">
        <v>108</v>
      </c>
      <c r="G59" s="1"/>
      <c r="H59" s="1"/>
      <c r="I59" s="1"/>
      <c r="J59" s="1"/>
      <c r="K59" s="7"/>
      <c r="L59" s="101"/>
    </row>
    <row r="60" spans="2:12" x14ac:dyDescent="0.55000000000000004">
      <c r="B60" s="100"/>
      <c r="C60" s="1"/>
      <c r="D60" s="2" t="s">
        <v>27</v>
      </c>
      <c r="E60" s="95">
        <f>E59/(28/1000)</f>
        <v>38.755455581974076</v>
      </c>
      <c r="F60" s="1" t="s">
        <v>302</v>
      </c>
      <c r="G60" s="1"/>
      <c r="H60" s="1"/>
      <c r="I60" s="1"/>
      <c r="J60" s="1"/>
      <c r="K60" s="1"/>
      <c r="L60" s="101"/>
    </row>
    <row r="61" spans="2:12" x14ac:dyDescent="0.55000000000000004">
      <c r="B61" s="100"/>
      <c r="C61" s="1"/>
      <c r="D61" s="1"/>
      <c r="E61" s="1"/>
      <c r="F61" s="1"/>
      <c r="G61" s="1"/>
      <c r="H61" s="1"/>
      <c r="I61" s="1"/>
      <c r="J61" s="1"/>
      <c r="K61" s="1"/>
      <c r="L61" s="101"/>
    </row>
    <row r="62" spans="2:12" x14ac:dyDescent="0.55000000000000004">
      <c r="B62" s="100" t="s">
        <v>312</v>
      </c>
      <c r="C62" s="1" t="s">
        <v>246</v>
      </c>
      <c r="D62" s="2" t="s">
        <v>42</v>
      </c>
      <c r="E62" s="1" t="s">
        <v>247</v>
      </c>
      <c r="F62" s="1" t="s">
        <v>248</v>
      </c>
      <c r="G62" s="1" t="s">
        <v>249</v>
      </c>
      <c r="H62" s="1" t="s">
        <v>250</v>
      </c>
      <c r="I62" s="1" t="s">
        <v>251</v>
      </c>
      <c r="J62" s="1" t="s">
        <v>252</v>
      </c>
      <c r="K62" s="1" t="s">
        <v>253</v>
      </c>
      <c r="L62" s="101" t="s">
        <v>254</v>
      </c>
    </row>
    <row r="63" spans="2:12" x14ac:dyDescent="0.55000000000000004">
      <c r="B63" s="100"/>
      <c r="C63" s="1">
        <v>25</v>
      </c>
      <c r="D63" s="2">
        <v>180</v>
      </c>
      <c r="E63" s="1">
        <v>33.46</v>
      </c>
      <c r="F63" s="1">
        <v>0.68799999999999994</v>
      </c>
      <c r="G63" s="1">
        <v>0.76039999999999996</v>
      </c>
      <c r="H63" s="1">
        <v>-3.593</v>
      </c>
      <c r="I63" s="1">
        <f>E63*10^-3</f>
        <v>3.3460000000000004E-2</v>
      </c>
      <c r="J63" s="1">
        <f>F63*10^-5</f>
        <v>6.8800000000000002E-6</v>
      </c>
      <c r="K63" s="1">
        <f>G63*10^-8</f>
        <v>7.6039999999999998E-9</v>
      </c>
      <c r="L63" s="101">
        <f>H63*10^-12</f>
        <v>-3.5929999999999997E-12</v>
      </c>
    </row>
    <row r="64" spans="2:12" x14ac:dyDescent="0.55000000000000004">
      <c r="B64" s="100"/>
      <c r="C64" s="1" t="s">
        <v>261</v>
      </c>
      <c r="D64" s="2" t="s">
        <v>27</v>
      </c>
      <c r="E64" s="7">
        <f>(I63*D63+((J63*D63^2)/2)+((K63*D63^3)/3)+((L63*D63^4)/4))-(I63*C63+((J63*C63^2)/2)+((K63*C63^3)/3)+((L63*C63^4)/4))</f>
        <v>5.3094059757922398</v>
      </c>
      <c r="F64" s="1" t="s">
        <v>256</v>
      </c>
      <c r="G64" s="1"/>
      <c r="H64" s="1"/>
      <c r="I64" s="1"/>
      <c r="J64" s="1"/>
      <c r="K64" s="1"/>
      <c r="L64" s="101"/>
    </row>
    <row r="65" spans="1:16" x14ac:dyDescent="0.55000000000000004">
      <c r="B65" s="100"/>
      <c r="C65" s="1"/>
      <c r="D65" s="2" t="s">
        <v>27</v>
      </c>
      <c r="E65" s="1">
        <f>E64/4.184</f>
        <v>1.2689784836979541</v>
      </c>
      <c r="F65" s="1" t="s">
        <v>108</v>
      </c>
      <c r="G65" s="1"/>
      <c r="H65" s="1"/>
      <c r="I65" s="1"/>
      <c r="J65" s="1"/>
      <c r="K65" s="1"/>
      <c r="L65" s="101"/>
    </row>
    <row r="66" spans="1:16" ht="14.7" thickBot="1" x14ac:dyDescent="0.6">
      <c r="B66" s="103"/>
      <c r="C66" s="32"/>
      <c r="D66" s="104" t="s">
        <v>27</v>
      </c>
      <c r="E66" s="32">
        <f>E65/(18.02/1000)</f>
        <v>70.420559583682234</v>
      </c>
      <c r="F66" s="32" t="s">
        <v>302</v>
      </c>
      <c r="G66" s="32"/>
      <c r="H66" s="32"/>
      <c r="I66" s="32"/>
      <c r="J66" s="32"/>
      <c r="K66" s="32"/>
      <c r="L66" s="105"/>
    </row>
    <row r="67" spans="1:16" x14ac:dyDescent="0.55000000000000004"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</row>
    <row r="68" spans="1:16" x14ac:dyDescent="0.55000000000000004">
      <c r="A68" t="s">
        <v>306</v>
      </c>
    </row>
    <row r="69" spans="1:16" x14ac:dyDescent="0.55000000000000004">
      <c r="B69" t="s">
        <v>305</v>
      </c>
      <c r="C69" t="s">
        <v>27</v>
      </c>
      <c r="D69">
        <f>40.656</f>
        <v>40.655999999999999</v>
      </c>
      <c r="E69" t="s">
        <v>256</v>
      </c>
    </row>
    <row r="70" spans="1:16" x14ac:dyDescent="0.55000000000000004">
      <c r="C70" t="s">
        <v>27</v>
      </c>
      <c r="D70" s="15">
        <f>(D69/4.184)/(18.02/1000)</f>
        <v>539.23513920160929</v>
      </c>
      <c r="E70" t="s">
        <v>302</v>
      </c>
    </row>
    <row r="71" spans="1:16" x14ac:dyDescent="0.55000000000000004">
      <c r="B71" t="s">
        <v>303</v>
      </c>
      <c r="C71" t="s">
        <v>27</v>
      </c>
      <c r="D71" t="s">
        <v>304</v>
      </c>
      <c r="E71" t="s">
        <v>28</v>
      </c>
      <c r="F71" t="s">
        <v>305</v>
      </c>
    </row>
    <row r="72" spans="1:16" x14ac:dyDescent="0.55000000000000004">
      <c r="C72" t="s">
        <v>27</v>
      </c>
      <c r="D72" s="16">
        <f>C25</f>
        <v>6.53</v>
      </c>
      <c r="E72" t="s">
        <v>28</v>
      </c>
      <c r="F72" s="15">
        <f>D70</f>
        <v>539.23513920160929</v>
      </c>
    </row>
    <row r="73" spans="1:16" x14ac:dyDescent="0.55000000000000004">
      <c r="C73" t="s">
        <v>27</v>
      </c>
      <c r="D73" s="16">
        <f>D72*F72</f>
        <v>3521.2054589865088</v>
      </c>
      <c r="E73" t="s">
        <v>155</v>
      </c>
    </row>
    <row r="75" spans="1:16" x14ac:dyDescent="0.55000000000000004">
      <c r="B75" t="s">
        <v>318</v>
      </c>
    </row>
    <row r="76" spans="1:16" x14ac:dyDescent="0.55000000000000004">
      <c r="B76" t="s">
        <v>153</v>
      </c>
      <c r="C76" t="s">
        <v>27</v>
      </c>
      <c r="D76">
        <v>29.86</v>
      </c>
      <c r="E76" t="s">
        <v>108</v>
      </c>
    </row>
    <row r="77" spans="1:16" ht="14.7" thickBot="1" x14ac:dyDescent="0.6">
      <c r="B77" s="23" t="s">
        <v>148</v>
      </c>
      <c r="C77" s="19" t="s">
        <v>27</v>
      </c>
      <c r="D77" s="53" t="s">
        <v>151</v>
      </c>
      <c r="E77" s="53" t="s">
        <v>149</v>
      </c>
      <c r="F77" s="53" t="s">
        <v>152</v>
      </c>
      <c r="G77" s="17" t="s">
        <v>27</v>
      </c>
      <c r="H77" s="54">
        <f>'Stream Table'!AJ36</f>
        <v>0</v>
      </c>
      <c r="I77" s="55" t="s">
        <v>81</v>
      </c>
      <c r="J77" s="89">
        <f>'Stream Table'!Z35</f>
        <v>0.80831258899388481</v>
      </c>
      <c r="K77" t="s">
        <v>27</v>
      </c>
      <c r="L77" s="52">
        <f>ABS(H77-J77)/I78</f>
        <v>0.4041562944969424</v>
      </c>
      <c r="M77" t="s">
        <v>129</v>
      </c>
      <c r="N77" t="s">
        <v>170</v>
      </c>
      <c r="O77" s="16">
        <f>L77*1000</f>
        <v>404.15629449694239</v>
      </c>
      <c r="P77" t="s">
        <v>262</v>
      </c>
    </row>
    <row r="78" spans="1:16" x14ac:dyDescent="0.55000000000000004">
      <c r="D78" s="19"/>
      <c r="E78" s="23" t="s">
        <v>286</v>
      </c>
      <c r="F78" s="19"/>
      <c r="H78" s="19"/>
      <c r="I78" s="19">
        <v>2</v>
      </c>
      <c r="J78" s="19"/>
    </row>
    <row r="79" spans="1:16" x14ac:dyDescent="0.55000000000000004">
      <c r="B79" t="s">
        <v>319</v>
      </c>
      <c r="C79" t="s">
        <v>27</v>
      </c>
      <c r="D79" t="str">
        <f>B77</f>
        <v>ξ</v>
      </c>
      <c r="E79" t="s">
        <v>28</v>
      </c>
      <c r="F79" t="s">
        <v>153</v>
      </c>
    </row>
    <row r="80" spans="1:16" x14ac:dyDescent="0.55000000000000004">
      <c r="C80" t="s">
        <v>27</v>
      </c>
      <c r="D80" s="16">
        <f>O77</f>
        <v>404.15629449694239</v>
      </c>
      <c r="E80" t="s">
        <v>28</v>
      </c>
      <c r="F80">
        <f>D76</f>
        <v>29.86</v>
      </c>
    </row>
    <row r="81" spans="1:12" x14ac:dyDescent="0.55000000000000004">
      <c r="C81" t="s">
        <v>27</v>
      </c>
      <c r="D81" s="16">
        <f>D80*F80</f>
        <v>12068.1069536787</v>
      </c>
      <c r="E81" t="s">
        <v>155</v>
      </c>
    </row>
    <row r="86" spans="1:12" x14ac:dyDescent="0.55000000000000004">
      <c r="A86" t="s">
        <v>279</v>
      </c>
      <c r="B86" t="s">
        <v>320</v>
      </c>
      <c r="C86" t="s">
        <v>27</v>
      </c>
      <c r="D86" s="16">
        <f>J30+D73+D81-E30</f>
        <v>19082.975674704372</v>
      </c>
      <c r="E86" t="s">
        <v>155</v>
      </c>
    </row>
    <row r="87" spans="1:12" x14ac:dyDescent="0.55000000000000004">
      <c r="A87" t="s">
        <v>264</v>
      </c>
    </row>
    <row r="88" spans="1:12" x14ac:dyDescent="0.55000000000000004">
      <c r="B88" t="s">
        <v>321</v>
      </c>
      <c r="C88" t="s">
        <v>27</v>
      </c>
      <c r="D88">
        <f>2802.3</f>
        <v>2802.3</v>
      </c>
      <c r="E88" t="s">
        <v>210</v>
      </c>
      <c r="G88" t="s">
        <v>322</v>
      </c>
      <c r="H88" t="s">
        <v>27</v>
      </c>
      <c r="I88">
        <f>1025.4</f>
        <v>1025.4000000000001</v>
      </c>
      <c r="J88" t="s">
        <v>210</v>
      </c>
    </row>
    <row r="89" spans="1:12" x14ac:dyDescent="0.55000000000000004">
      <c r="C89" t="s">
        <v>27</v>
      </c>
      <c r="D89" s="16">
        <f>D88/4.184</f>
        <v>669.76577437858509</v>
      </c>
      <c r="E89" t="s">
        <v>302</v>
      </c>
      <c r="H89" t="s">
        <v>27</v>
      </c>
      <c r="I89">
        <f>I88/4.184</f>
        <v>245.07648183556407</v>
      </c>
      <c r="J89" t="s">
        <v>302</v>
      </c>
    </row>
    <row r="90" spans="1:12" x14ac:dyDescent="0.55000000000000004">
      <c r="D90" s="16"/>
    </row>
    <row r="91" spans="1:12" x14ac:dyDescent="0.55000000000000004">
      <c r="B91" s="17" t="s">
        <v>323</v>
      </c>
      <c r="C91" t="s">
        <v>27</v>
      </c>
      <c r="D91" s="16">
        <f>D89-I89</f>
        <v>424.689292543021</v>
      </c>
      <c r="E91" t="s">
        <v>302</v>
      </c>
    </row>
    <row r="93" spans="1:12" ht="14.7" thickBot="1" x14ac:dyDescent="0.6">
      <c r="B93" s="73" t="s">
        <v>265</v>
      </c>
      <c r="C93" s="73" t="s">
        <v>27</v>
      </c>
      <c r="D93" s="74" t="s">
        <v>263</v>
      </c>
      <c r="E93" s="73" t="s">
        <v>27</v>
      </c>
      <c r="F93" s="76">
        <f>D86</f>
        <v>19082.975674704372</v>
      </c>
      <c r="G93" s="73" t="s">
        <v>27</v>
      </c>
      <c r="H93" s="92">
        <f>F93/F94</f>
        <v>44.933969397806912</v>
      </c>
      <c r="I93" s="73" t="s">
        <v>90</v>
      </c>
      <c r="J93" s="92" t="s">
        <v>27</v>
      </c>
      <c r="K93" s="92">
        <f>H93*3600</f>
        <v>161762.28983210487</v>
      </c>
      <c r="L93" s="73" t="s">
        <v>285</v>
      </c>
    </row>
    <row r="94" spans="1:12" x14ac:dyDescent="0.55000000000000004">
      <c r="B94" s="73"/>
      <c r="C94" s="73"/>
      <c r="D94" s="73" t="s">
        <v>330</v>
      </c>
      <c r="E94" s="73"/>
      <c r="F94" s="106">
        <f>D91</f>
        <v>424.689292543021</v>
      </c>
      <c r="G94" s="73"/>
      <c r="H94" s="73"/>
      <c r="I94" s="73"/>
      <c r="J94" s="73"/>
      <c r="K94" s="73"/>
      <c r="L94" s="73"/>
    </row>
    <row r="97" spans="1:18" ht="30" x14ac:dyDescent="0.55000000000000004">
      <c r="A97" s="93" t="s">
        <v>268</v>
      </c>
      <c r="B97" s="37"/>
      <c r="C97" s="37"/>
      <c r="D97" s="37"/>
      <c r="E97" s="37"/>
      <c r="F97" s="37"/>
      <c r="G97" s="37"/>
      <c r="H97" s="37"/>
      <c r="I97" s="37"/>
    </row>
    <row r="98" spans="1:18" ht="15" customHeight="1" x14ac:dyDescent="0.55000000000000004">
      <c r="B98" s="93"/>
      <c r="C98" s="93"/>
      <c r="D98" s="93"/>
    </row>
    <row r="99" spans="1:18" ht="15" customHeight="1" x14ac:dyDescent="0.55000000000000004">
      <c r="A99" s="93"/>
      <c r="B99" s="93"/>
      <c r="C99" s="93"/>
      <c r="D99" s="94" t="s">
        <v>284</v>
      </c>
    </row>
    <row r="100" spans="1:18" x14ac:dyDescent="0.55000000000000004">
      <c r="C100" s="90" t="s">
        <v>206</v>
      </c>
      <c r="D100" s="90" t="s">
        <v>280</v>
      </c>
      <c r="E100" s="56">
        <v>39</v>
      </c>
    </row>
    <row r="102" spans="1:18" x14ac:dyDescent="0.55000000000000004">
      <c r="B102" s="56">
        <v>38</v>
      </c>
      <c r="F102" s="90">
        <v>40</v>
      </c>
    </row>
    <row r="103" spans="1:18" x14ac:dyDescent="0.55000000000000004">
      <c r="G103" t="s">
        <v>281</v>
      </c>
    </row>
    <row r="104" spans="1:18" x14ac:dyDescent="0.55000000000000004">
      <c r="F104" s="90" t="s">
        <v>266</v>
      </c>
      <c r="G104" t="s">
        <v>282</v>
      </c>
    </row>
    <row r="105" spans="1:18" x14ac:dyDescent="0.55000000000000004">
      <c r="F105" s="91"/>
    </row>
    <row r="106" spans="1:18" x14ac:dyDescent="0.55000000000000004">
      <c r="A106" t="s">
        <v>269</v>
      </c>
    </row>
    <row r="107" spans="1:18" x14ac:dyDescent="0.55000000000000004">
      <c r="A107" t="s">
        <v>325</v>
      </c>
      <c r="B107">
        <v>50.119</v>
      </c>
      <c r="C107" s="88" t="s">
        <v>60</v>
      </c>
      <c r="D107" t="s">
        <v>2</v>
      </c>
      <c r="E107" t="s">
        <v>28</v>
      </c>
      <c r="F107" s="88">
        <v>1</v>
      </c>
      <c r="G107" s="88" t="s">
        <v>244</v>
      </c>
      <c r="H107" s="88" t="s">
        <v>2</v>
      </c>
      <c r="I107" t="s">
        <v>28</v>
      </c>
      <c r="J107" s="88">
        <v>1</v>
      </c>
      <c r="K107" s="88" t="s">
        <v>270</v>
      </c>
      <c r="L107" t="s">
        <v>28</v>
      </c>
      <c r="M107" s="88">
        <v>105.98</v>
      </c>
      <c r="N107" s="88" t="s">
        <v>272</v>
      </c>
      <c r="O107" t="s">
        <v>27</v>
      </c>
      <c r="P107" s="15">
        <f>B107*F107/F108*J107/J108*M107/M108</f>
        <v>42.834541261098522</v>
      </c>
      <c r="Q107" t="s">
        <v>60</v>
      </c>
      <c r="R107" t="s">
        <v>10</v>
      </c>
    </row>
    <row r="108" spans="1:18" x14ac:dyDescent="0.55000000000000004">
      <c r="A108" t="s">
        <v>326</v>
      </c>
      <c r="C108" t="s">
        <v>57</v>
      </c>
      <c r="F108">
        <v>124.003</v>
      </c>
      <c r="G108" t="s">
        <v>60</v>
      </c>
      <c r="H108" t="s">
        <v>2</v>
      </c>
      <c r="J108">
        <v>1</v>
      </c>
      <c r="K108" t="s">
        <v>271</v>
      </c>
      <c r="M108">
        <v>1</v>
      </c>
      <c r="N108" t="s">
        <v>270</v>
      </c>
      <c r="Q108" t="s">
        <v>57</v>
      </c>
    </row>
    <row r="110" spans="1:18" x14ac:dyDescent="0.55000000000000004">
      <c r="A110" t="s">
        <v>245</v>
      </c>
      <c r="B110">
        <f>B107</f>
        <v>50.119</v>
      </c>
      <c r="C110" s="88" t="s">
        <v>60</v>
      </c>
      <c r="D110" t="s">
        <v>2</v>
      </c>
      <c r="E110" t="s">
        <v>28</v>
      </c>
      <c r="F110" s="88">
        <v>1</v>
      </c>
      <c r="G110" s="88" t="s">
        <v>244</v>
      </c>
      <c r="H110" s="88" t="s">
        <v>2</v>
      </c>
      <c r="I110" t="s">
        <v>28</v>
      </c>
      <c r="J110" s="88">
        <v>1</v>
      </c>
      <c r="K110" s="88" t="s">
        <v>327</v>
      </c>
      <c r="L110" t="s">
        <v>28</v>
      </c>
      <c r="M110" s="88">
        <v>18.02</v>
      </c>
      <c r="N110" s="88" t="s">
        <v>293</v>
      </c>
      <c r="O110" t="s">
        <v>27</v>
      </c>
      <c r="P110" s="15">
        <f>B110*F110/F111*J110/J111*M110/M111</f>
        <v>7.2832462117851984</v>
      </c>
      <c r="Q110" t="s">
        <v>60</v>
      </c>
      <c r="R110" t="s">
        <v>10</v>
      </c>
    </row>
    <row r="111" spans="1:18" x14ac:dyDescent="0.55000000000000004">
      <c r="A111" t="s">
        <v>326</v>
      </c>
      <c r="C111" t="s">
        <v>57</v>
      </c>
      <c r="F111">
        <v>124.003</v>
      </c>
      <c r="G111" t="s">
        <v>60</v>
      </c>
      <c r="H111" t="s">
        <v>2</v>
      </c>
      <c r="J111">
        <v>1</v>
      </c>
      <c r="K111" t="s">
        <v>271</v>
      </c>
      <c r="M111">
        <v>1</v>
      </c>
      <c r="N111" t="s">
        <v>327</v>
      </c>
      <c r="Q111" t="s">
        <v>57</v>
      </c>
    </row>
    <row r="113" spans="2:12" x14ac:dyDescent="0.55000000000000004">
      <c r="C113" s="141" t="s">
        <v>290</v>
      </c>
      <c r="D113" s="141"/>
      <c r="E113" s="141"/>
      <c r="H113" s="141" t="s">
        <v>291</v>
      </c>
      <c r="I113" s="141"/>
      <c r="J113" s="141"/>
    </row>
    <row r="114" spans="2:12" x14ac:dyDescent="0.55000000000000004">
      <c r="C114" t="s">
        <v>314</v>
      </c>
      <c r="D114" t="s">
        <v>315</v>
      </c>
      <c r="E114" t="s">
        <v>316</v>
      </c>
      <c r="H114" t="s">
        <v>289</v>
      </c>
      <c r="I114" t="s">
        <v>292</v>
      </c>
      <c r="J114" t="s">
        <v>316</v>
      </c>
    </row>
    <row r="115" spans="2:12" x14ac:dyDescent="0.55000000000000004">
      <c r="C115" t="s">
        <v>17</v>
      </c>
      <c r="D115" t="s">
        <v>313</v>
      </c>
      <c r="E115" t="s">
        <v>317</v>
      </c>
      <c r="H115" t="s">
        <v>17</v>
      </c>
      <c r="I115" t="s">
        <v>313</v>
      </c>
      <c r="J115" t="s">
        <v>317</v>
      </c>
    </row>
    <row r="116" spans="2:12" x14ac:dyDescent="0.55000000000000004">
      <c r="B116" t="s">
        <v>281</v>
      </c>
      <c r="H116" s="15">
        <f>P107</f>
        <v>42.834541261098522</v>
      </c>
      <c r="I116">
        <f>0.28*(180-25)</f>
        <v>43.400000000000006</v>
      </c>
      <c r="J116" s="16">
        <f>I116*H116</f>
        <v>1859.0190907316762</v>
      </c>
    </row>
    <row r="117" spans="2:12" x14ac:dyDescent="0.55000000000000004">
      <c r="B117" t="s">
        <v>2</v>
      </c>
      <c r="C117" s="15">
        <f>50.119</f>
        <v>50.119</v>
      </c>
      <c r="D117">
        <f>0.3*(88-25)</f>
        <v>18.899999999999999</v>
      </c>
      <c r="E117">
        <f>C117*D117</f>
        <v>947.24909999999988</v>
      </c>
      <c r="J117" s="15"/>
    </row>
    <row r="118" spans="2:12" x14ac:dyDescent="0.55000000000000004">
      <c r="B118" t="s">
        <v>324</v>
      </c>
      <c r="C118" s="15">
        <f>2.638</f>
        <v>2.6379999999999999</v>
      </c>
      <c r="D118">
        <f>0.85*(88-25)</f>
        <v>53.55</v>
      </c>
      <c r="E118">
        <f t="shared" ref="E118" si="2">C118*D118</f>
        <v>141.26489999999998</v>
      </c>
      <c r="J118" s="15"/>
    </row>
    <row r="119" spans="2:12" x14ac:dyDescent="0.55000000000000004">
      <c r="B119" t="s">
        <v>288</v>
      </c>
      <c r="H119" s="16">
        <f>C118+P110</f>
        <v>9.9212462117851992</v>
      </c>
      <c r="I119" s="15">
        <f>E127</f>
        <v>70.420559583682234</v>
      </c>
      <c r="J119" s="15">
        <f t="shared" ref="J119" si="3">I119*H119</f>
        <v>698.65971000140132</v>
      </c>
    </row>
    <row r="120" spans="2:12" x14ac:dyDescent="0.55000000000000004">
      <c r="C120" s="15"/>
      <c r="D120" t="s">
        <v>16</v>
      </c>
      <c r="E120">
        <f>SUM(E116:E119)</f>
        <v>1088.5139999999999</v>
      </c>
      <c r="I120" t="s">
        <v>16</v>
      </c>
      <c r="J120" s="16">
        <f>SUM(J116:J119)</f>
        <v>2557.6788007330774</v>
      </c>
    </row>
    <row r="121" spans="2:12" x14ac:dyDescent="0.55000000000000004">
      <c r="C121" s="15"/>
      <c r="D121" s="52"/>
      <c r="E121" s="15"/>
      <c r="H121" s="15"/>
      <c r="I121" s="15"/>
      <c r="J121" s="15"/>
    </row>
    <row r="122" spans="2:12" ht="14.7" thickBot="1" x14ac:dyDescent="0.6"/>
    <row r="123" spans="2:12" x14ac:dyDescent="0.55000000000000004">
      <c r="B123" s="96" t="s">
        <v>312</v>
      </c>
      <c r="C123" s="97" t="s">
        <v>246</v>
      </c>
      <c r="D123" s="98" t="s">
        <v>42</v>
      </c>
      <c r="E123" s="97" t="s">
        <v>247</v>
      </c>
      <c r="F123" s="97" t="s">
        <v>248</v>
      </c>
      <c r="G123" s="97" t="s">
        <v>249</v>
      </c>
      <c r="H123" s="97" t="s">
        <v>250</v>
      </c>
      <c r="I123" s="97" t="s">
        <v>251</v>
      </c>
      <c r="J123" s="97" t="s">
        <v>252</v>
      </c>
      <c r="K123" s="97" t="s">
        <v>253</v>
      </c>
      <c r="L123" s="99" t="s">
        <v>254</v>
      </c>
    </row>
    <row r="124" spans="2:12" x14ac:dyDescent="0.55000000000000004">
      <c r="B124" s="100"/>
      <c r="C124" s="1">
        <v>25</v>
      </c>
      <c r="D124" s="2">
        <v>180</v>
      </c>
      <c r="E124" s="1">
        <v>33.46</v>
      </c>
      <c r="F124" s="1">
        <v>0.68799999999999994</v>
      </c>
      <c r="G124" s="1">
        <v>0.76039999999999996</v>
      </c>
      <c r="H124" s="1">
        <v>-3.593</v>
      </c>
      <c r="I124" s="1">
        <f>E124*10^-3</f>
        <v>3.3460000000000004E-2</v>
      </c>
      <c r="J124" s="1">
        <f>F124*10^-5</f>
        <v>6.8800000000000002E-6</v>
      </c>
      <c r="K124" s="1">
        <f>G124*10^-8</f>
        <v>7.6039999999999998E-9</v>
      </c>
      <c r="L124" s="101">
        <f>H124*10^-12</f>
        <v>-3.5929999999999997E-12</v>
      </c>
    </row>
    <row r="125" spans="2:12" x14ac:dyDescent="0.55000000000000004">
      <c r="B125" s="100"/>
      <c r="C125" s="1" t="s">
        <v>261</v>
      </c>
      <c r="D125" s="2" t="s">
        <v>27</v>
      </c>
      <c r="E125" s="7">
        <f>(I124*D124+((J124*D124^2)/2)+((K124*D124^3)/3)+((L124*D124^4)/4))-(I124*C124+((J124*C124^2)/2)+((K124*C124^3)/3)+((L124*C124^4)/4))</f>
        <v>5.3094059757922398</v>
      </c>
      <c r="F125" s="1" t="s">
        <v>256</v>
      </c>
      <c r="G125" s="1"/>
      <c r="H125" s="1"/>
      <c r="I125" s="1"/>
      <c r="J125" s="1"/>
      <c r="K125" s="1"/>
      <c r="L125" s="101"/>
    </row>
    <row r="126" spans="2:12" x14ac:dyDescent="0.55000000000000004">
      <c r="B126" s="100"/>
      <c r="C126" s="1"/>
      <c r="D126" s="2" t="s">
        <v>27</v>
      </c>
      <c r="E126" s="1">
        <f>E125/4.184</f>
        <v>1.2689784836979541</v>
      </c>
      <c r="F126" s="1" t="s">
        <v>108</v>
      </c>
      <c r="G126" s="1"/>
      <c r="H126" s="1"/>
      <c r="I126" s="1"/>
      <c r="J126" s="1"/>
      <c r="K126" s="1"/>
      <c r="L126" s="101"/>
    </row>
    <row r="127" spans="2:12" ht="14.7" thickBot="1" x14ac:dyDescent="0.6">
      <c r="B127" s="103"/>
      <c r="C127" s="32"/>
      <c r="D127" s="104" t="s">
        <v>27</v>
      </c>
      <c r="E127" s="32">
        <f>E126/(18.02/1000)</f>
        <v>70.420559583682234</v>
      </c>
      <c r="F127" s="32" t="s">
        <v>302</v>
      </c>
      <c r="G127" s="32"/>
      <c r="H127" s="32"/>
      <c r="I127" s="32"/>
      <c r="J127" s="32"/>
      <c r="K127" s="32"/>
      <c r="L127" s="105"/>
    </row>
    <row r="129" spans="1:16" x14ac:dyDescent="0.55000000000000004">
      <c r="A129" t="s">
        <v>306</v>
      </c>
    </row>
    <row r="130" spans="1:16" x14ac:dyDescent="0.55000000000000004">
      <c r="B130" t="s">
        <v>305</v>
      </c>
      <c r="C130" t="s">
        <v>27</v>
      </c>
      <c r="D130">
        <f>40.656</f>
        <v>40.655999999999999</v>
      </c>
      <c r="E130" t="s">
        <v>256</v>
      </c>
    </row>
    <row r="131" spans="1:16" x14ac:dyDescent="0.55000000000000004">
      <c r="C131" t="s">
        <v>27</v>
      </c>
      <c r="D131" s="15">
        <f>(D130/4.184)/(18.02/1000)</f>
        <v>539.23513920160929</v>
      </c>
      <c r="E131" t="s">
        <v>302</v>
      </c>
    </row>
    <row r="132" spans="1:16" x14ac:dyDescent="0.55000000000000004">
      <c r="B132" t="s">
        <v>303</v>
      </c>
      <c r="C132" t="s">
        <v>27</v>
      </c>
      <c r="D132" t="s">
        <v>304</v>
      </c>
      <c r="E132" t="s">
        <v>28</v>
      </c>
      <c r="F132" t="s">
        <v>305</v>
      </c>
    </row>
    <row r="133" spans="1:16" x14ac:dyDescent="0.55000000000000004">
      <c r="C133" t="s">
        <v>27</v>
      </c>
      <c r="D133" s="16">
        <f>C118</f>
        <v>2.6379999999999999</v>
      </c>
      <c r="E133" t="s">
        <v>28</v>
      </c>
      <c r="F133" s="15">
        <f>D131</f>
        <v>539.23513920160929</v>
      </c>
    </row>
    <row r="134" spans="1:16" x14ac:dyDescent="0.55000000000000004">
      <c r="C134" t="s">
        <v>27</v>
      </c>
      <c r="D134" s="16">
        <f>D133*F133</f>
        <v>1422.5022972138452</v>
      </c>
      <c r="E134" t="s">
        <v>155</v>
      </c>
    </row>
    <row r="136" spans="1:16" x14ac:dyDescent="0.55000000000000004">
      <c r="A136" t="s">
        <v>275</v>
      </c>
      <c r="B136" s="108" t="s">
        <v>276</v>
      </c>
      <c r="C136" t="s">
        <v>27</v>
      </c>
      <c r="D136">
        <f>13.8</f>
        <v>13.8</v>
      </c>
      <c r="E136" t="s">
        <v>108</v>
      </c>
    </row>
    <row r="138" spans="1:16" ht="14.7" thickBot="1" x14ac:dyDescent="0.6">
      <c r="B138" s="23" t="s">
        <v>148</v>
      </c>
      <c r="C138" s="19" t="s">
        <v>27</v>
      </c>
      <c r="D138" s="53" t="s">
        <v>273</v>
      </c>
      <c r="E138" s="53" t="s">
        <v>149</v>
      </c>
      <c r="F138" s="53" t="s">
        <v>274</v>
      </c>
      <c r="G138" s="17" t="s">
        <v>27</v>
      </c>
      <c r="H138" s="54">
        <f>0</f>
        <v>0</v>
      </c>
      <c r="I138" s="55" t="s">
        <v>81</v>
      </c>
      <c r="J138" s="89">
        <v>0.4042</v>
      </c>
      <c r="K138" t="s">
        <v>27</v>
      </c>
      <c r="L138" s="52">
        <f>ABS(H138-J138)/I139</f>
        <v>0.4042</v>
      </c>
      <c r="M138" t="s">
        <v>129</v>
      </c>
      <c r="N138" t="s">
        <v>170</v>
      </c>
      <c r="O138" s="16">
        <f>L138*1000</f>
        <v>404.2</v>
      </c>
      <c r="P138" t="s">
        <v>262</v>
      </c>
    </row>
    <row r="139" spans="1:16" x14ac:dyDescent="0.55000000000000004">
      <c r="D139" s="19"/>
      <c r="E139" s="23" t="s">
        <v>150</v>
      </c>
      <c r="F139" s="19"/>
      <c r="H139" s="19"/>
      <c r="I139" s="19">
        <v>1</v>
      </c>
      <c r="J139" s="19"/>
    </row>
    <row r="140" spans="1:16" x14ac:dyDescent="0.55000000000000004">
      <c r="B140" s="108" t="s">
        <v>328</v>
      </c>
      <c r="C140" t="s">
        <v>27</v>
      </c>
      <c r="D140" t="str">
        <f>B138</f>
        <v>ξ</v>
      </c>
      <c r="E140" t="s">
        <v>28</v>
      </c>
      <c r="F140" t="str">
        <f>B136</f>
        <v>H`rxn@25oC</v>
      </c>
    </row>
    <row r="141" spans="1:16" x14ac:dyDescent="0.55000000000000004">
      <c r="C141" t="s">
        <v>27</v>
      </c>
      <c r="D141" s="16">
        <f>O138</f>
        <v>404.2</v>
      </c>
      <c r="E141" t="s">
        <v>28</v>
      </c>
      <c r="F141">
        <f>D136</f>
        <v>13.8</v>
      </c>
    </row>
    <row r="142" spans="1:16" x14ac:dyDescent="0.55000000000000004">
      <c r="C142" t="s">
        <v>27</v>
      </c>
      <c r="D142">
        <f>D141*F141</f>
        <v>5577.96</v>
      </c>
      <c r="E142" t="s">
        <v>155</v>
      </c>
    </row>
    <row r="148" spans="1:15" x14ac:dyDescent="0.55000000000000004">
      <c r="B148" t="s">
        <v>329</v>
      </c>
      <c r="C148" t="s">
        <v>27</v>
      </c>
      <c r="D148" s="16">
        <f>J120-E120+D142+D134</f>
        <v>8469.6270979469227</v>
      </c>
      <c r="E148" t="s">
        <v>155</v>
      </c>
    </row>
    <row r="149" spans="1:15" ht="14.7" thickBot="1" x14ac:dyDescent="0.6">
      <c r="B149" s="73" t="s">
        <v>265</v>
      </c>
      <c r="C149" s="73" t="s">
        <v>27</v>
      </c>
      <c r="D149" s="74" t="s">
        <v>263</v>
      </c>
      <c r="E149" s="73" t="s">
        <v>27</v>
      </c>
      <c r="F149" s="76">
        <f>D148</f>
        <v>8469.6270979469227</v>
      </c>
      <c r="G149" s="73" t="s">
        <v>27</v>
      </c>
      <c r="H149" s="92">
        <f>F149/F150</f>
        <v>19.943114287697636</v>
      </c>
      <c r="I149" s="73" t="s">
        <v>90</v>
      </c>
      <c r="J149" s="92" t="s">
        <v>27</v>
      </c>
      <c r="K149" s="92">
        <f>H149*3600</f>
        <v>71795.211435711492</v>
      </c>
      <c r="L149" s="73" t="s">
        <v>285</v>
      </c>
    </row>
    <row r="150" spans="1:15" x14ac:dyDescent="0.55000000000000004">
      <c r="B150" s="73"/>
      <c r="C150" s="73"/>
      <c r="D150" s="73" t="s">
        <v>330</v>
      </c>
      <c r="E150" s="73"/>
      <c r="F150" s="106">
        <f>D91</f>
        <v>424.689292543021</v>
      </c>
      <c r="G150" s="73"/>
      <c r="H150" s="73"/>
      <c r="I150" s="73"/>
      <c r="J150" s="73"/>
      <c r="K150" s="73"/>
      <c r="L150" s="73"/>
    </row>
    <row r="160" spans="1:15" x14ac:dyDescent="0.5500000000000000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x14ac:dyDescent="0.5500000000000000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x14ac:dyDescent="0.5500000000000000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x14ac:dyDescent="0.5500000000000000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x14ac:dyDescent="0.5500000000000000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x14ac:dyDescent="0.5500000000000000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x14ac:dyDescent="0.55000000000000004">
      <c r="A166" s="4"/>
      <c r="B166" s="4"/>
      <c r="C166" s="4"/>
      <c r="D166" s="10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x14ac:dyDescent="0.55000000000000004">
      <c r="A167" s="4"/>
      <c r="B167" s="4"/>
      <c r="C167" s="4"/>
      <c r="D167" s="10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x14ac:dyDescent="0.5500000000000000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x14ac:dyDescent="0.55000000000000004">
      <c r="A169" s="4"/>
      <c r="B169" s="4"/>
      <c r="C169" s="4"/>
      <c r="D169" s="11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x14ac:dyDescent="0.55000000000000004">
      <c r="A170" s="4"/>
      <c r="B170" s="4"/>
      <c r="C170" s="4"/>
      <c r="D170" s="11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x14ac:dyDescent="0.55000000000000004">
      <c r="A171" s="4"/>
      <c r="B171" s="4"/>
      <c r="C171" s="4"/>
      <c r="D171" s="10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x14ac:dyDescent="0.55000000000000004">
      <c r="A172" s="4"/>
      <c r="B172" s="111"/>
      <c r="C172" s="4"/>
      <c r="D172" s="4"/>
      <c r="E172" s="112"/>
      <c r="F172" s="4"/>
      <c r="G172" s="4"/>
      <c r="H172" s="4"/>
      <c r="I172" s="4"/>
      <c r="J172" s="4"/>
      <c r="K172" s="107"/>
      <c r="L172" s="4"/>
      <c r="M172" s="4"/>
      <c r="N172" s="4"/>
      <c r="O172" s="4"/>
    </row>
    <row r="173" spans="1:15" x14ac:dyDescent="0.5500000000000000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x14ac:dyDescent="0.55000000000000004">
      <c r="A174" s="4"/>
      <c r="B174" s="11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x14ac:dyDescent="0.5500000000000000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x14ac:dyDescent="0.55000000000000004">
      <c r="A176" s="4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4"/>
    </row>
    <row r="177" spans="1:15" x14ac:dyDescent="0.55000000000000004">
      <c r="A177" s="4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4"/>
    </row>
    <row r="178" spans="1:15" x14ac:dyDescent="0.55000000000000004">
      <c r="A178" s="4"/>
      <c r="B178" s="61"/>
      <c r="C178" s="61"/>
      <c r="D178" s="61"/>
      <c r="E178" s="113"/>
      <c r="F178" s="61"/>
      <c r="G178" s="61"/>
      <c r="H178" s="61"/>
      <c r="I178" s="61"/>
      <c r="J178" s="61"/>
      <c r="K178" s="61"/>
      <c r="L178" s="61"/>
      <c r="M178" s="61"/>
      <c r="N178" s="61"/>
      <c r="O178" s="4"/>
    </row>
    <row r="179" spans="1:15" x14ac:dyDescent="0.55000000000000004">
      <c r="A179" s="4"/>
      <c r="B179" s="61"/>
      <c r="C179" s="61"/>
      <c r="D179" s="114"/>
      <c r="E179" s="113"/>
      <c r="F179" s="61"/>
      <c r="G179" s="61"/>
      <c r="H179" s="61"/>
      <c r="I179" s="61"/>
      <c r="J179" s="61"/>
      <c r="K179" s="61"/>
      <c r="L179" s="61"/>
      <c r="M179" s="61"/>
      <c r="N179" s="61"/>
      <c r="O179" s="4"/>
    </row>
    <row r="180" spans="1:15" x14ac:dyDescent="0.55000000000000004">
      <c r="A180" s="4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4"/>
    </row>
    <row r="181" spans="1:15" x14ac:dyDescent="0.55000000000000004">
      <c r="A181" s="4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4"/>
    </row>
    <row r="182" spans="1:15" x14ac:dyDescent="0.55000000000000004">
      <c r="A182" s="4"/>
      <c r="B182" s="61"/>
      <c r="C182" s="61"/>
      <c r="D182" s="115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4"/>
    </row>
    <row r="183" spans="1:15" x14ac:dyDescent="0.55000000000000004">
      <c r="A183" s="4"/>
      <c r="B183" s="61"/>
      <c r="C183" s="61"/>
      <c r="D183" s="61"/>
      <c r="E183" s="113"/>
      <c r="F183" s="61"/>
      <c r="G183" s="61"/>
      <c r="H183" s="61"/>
      <c r="I183" s="61"/>
      <c r="J183" s="61"/>
      <c r="K183" s="61"/>
      <c r="L183" s="61"/>
      <c r="M183" s="61"/>
      <c r="N183" s="61"/>
      <c r="O183" s="4"/>
    </row>
    <row r="184" spans="1:15" x14ac:dyDescent="0.55000000000000004">
      <c r="A184" s="4"/>
      <c r="B184" s="61"/>
      <c r="C184" s="61"/>
      <c r="D184" s="114"/>
      <c r="E184" s="113"/>
      <c r="F184" s="61"/>
      <c r="G184" s="61"/>
      <c r="H184" s="61"/>
      <c r="I184" s="61"/>
      <c r="J184" s="61"/>
      <c r="K184" s="61"/>
      <c r="L184" s="61"/>
      <c r="M184" s="61"/>
      <c r="N184" s="61"/>
      <c r="O184" s="4"/>
    </row>
    <row r="185" spans="1:15" x14ac:dyDescent="0.5500000000000000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x14ac:dyDescent="0.5500000000000000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x14ac:dyDescent="0.5500000000000000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x14ac:dyDescent="0.55000000000000004">
      <c r="A188" s="4"/>
      <c r="B188" s="4"/>
      <c r="C188" s="4"/>
      <c r="D188" s="61"/>
      <c r="E188" s="116"/>
      <c r="F188" s="61"/>
      <c r="G188" s="4"/>
      <c r="H188" s="61"/>
      <c r="I188" s="61"/>
      <c r="J188" s="61"/>
      <c r="K188" s="4"/>
      <c r="L188" s="4"/>
      <c r="M188" s="4"/>
      <c r="N188" s="4"/>
      <c r="O188" s="4"/>
    </row>
    <row r="189" spans="1:15" x14ac:dyDescent="0.55000000000000004">
      <c r="A189" s="4"/>
      <c r="B189" s="4"/>
      <c r="C189" s="4"/>
      <c r="D189" s="4"/>
      <c r="E189" s="116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x14ac:dyDescent="0.5500000000000000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x14ac:dyDescent="0.55000000000000004">
      <c r="A191" s="4"/>
      <c r="B191" s="4"/>
      <c r="C191" s="4"/>
      <c r="D191" s="107"/>
      <c r="E191" s="116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55000000000000004">
      <c r="A192" s="4"/>
      <c r="B192" s="4"/>
      <c r="C192" s="4"/>
      <c r="D192" s="107"/>
      <c r="E192" s="116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55000000000000004">
      <c r="A193" s="4"/>
      <c r="B193" s="4"/>
      <c r="C193" s="4"/>
      <c r="D193" s="107"/>
      <c r="E193" s="116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5500000000000000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5500000000000000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5500000000000000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55000000000000004">
      <c r="A197" s="4"/>
      <c r="B197" s="4"/>
      <c r="C197" s="10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x14ac:dyDescent="0.55000000000000004">
      <c r="A198" s="4"/>
      <c r="B198" s="4"/>
      <c r="C198" s="4"/>
      <c r="D198" s="10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x14ac:dyDescent="0.55000000000000004">
      <c r="A199" s="4"/>
      <c r="B199" s="4"/>
      <c r="C199" s="4"/>
      <c r="D199" s="10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x14ac:dyDescent="0.5500000000000000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x14ac:dyDescent="0.5500000000000000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x14ac:dyDescent="0.5500000000000000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x14ac:dyDescent="0.5500000000000000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x14ac:dyDescent="0.550000000000000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x14ac:dyDescent="0.5500000000000000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x14ac:dyDescent="0.5500000000000000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x14ac:dyDescent="0.5500000000000000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x14ac:dyDescent="0.5500000000000000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x14ac:dyDescent="0.5500000000000000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x14ac:dyDescent="0.55000000000000004">
      <c r="A210" s="4"/>
      <c r="B210" s="4"/>
      <c r="C210" s="4"/>
      <c r="D210" s="10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x14ac:dyDescent="0.5500000000000000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x14ac:dyDescent="0.5500000000000000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x14ac:dyDescent="0.55000000000000004">
      <c r="A213" s="4"/>
      <c r="B213" s="4"/>
      <c r="C213" s="4"/>
      <c r="D213" s="4"/>
      <c r="E213" s="4"/>
      <c r="F213" s="107"/>
      <c r="G213" s="4"/>
      <c r="H213" s="107"/>
      <c r="I213" s="4"/>
      <c r="J213" s="107"/>
      <c r="K213" s="107"/>
      <c r="L213" s="4"/>
      <c r="M213" s="4"/>
      <c r="N213" s="4"/>
      <c r="O213" s="4"/>
    </row>
    <row r="214" spans="1:15" x14ac:dyDescent="0.5500000000000000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</sheetData>
  <mergeCells count="7">
    <mergeCell ref="A2:C4"/>
    <mergeCell ref="C17:E17"/>
    <mergeCell ref="H17:J17"/>
    <mergeCell ref="C113:E113"/>
    <mergeCell ref="H113:J113"/>
    <mergeCell ref="B6:C6"/>
    <mergeCell ref="B7:C7"/>
  </mergeCells>
  <hyperlinks>
    <hyperlink ref="B140" r:id="rId1" xr:uid="{00000000-0004-0000-08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Stream Table</vt:lpstr>
      <vt:lpstr>1</vt:lpstr>
      <vt:lpstr>2</vt:lpstr>
      <vt:lpstr>3</vt:lpstr>
      <vt:lpstr>4</vt:lpstr>
      <vt:lpstr>4 cont</vt:lpstr>
      <vt:lpstr>5</vt:lpstr>
      <vt:lpstr>6</vt:lpstr>
      <vt:lpstr>7</vt:lpstr>
      <vt:lpstr>8</vt:lpstr>
      <vt:lpstr>9</vt:lpstr>
      <vt:lpstr>'Stream Table'!Print_Titles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Ronish</dc:creator>
  <cp:lastModifiedBy>Jake Tweedle</cp:lastModifiedBy>
  <dcterms:created xsi:type="dcterms:W3CDTF">2018-03-28T03:17:44Z</dcterms:created>
  <dcterms:modified xsi:type="dcterms:W3CDTF">2018-04-25T20:04:30Z</dcterms:modified>
</cp:coreProperties>
</file>