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harts/chartEx5.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jojotan/Documents/GA/Project 2/"/>
    </mc:Choice>
  </mc:AlternateContent>
  <xr:revisionPtr revIDLastSave="0" documentId="13_ncr:1_{25A1FE7A-F146-584F-962A-A4C2CAB65150}" xr6:coauthVersionLast="47" xr6:coauthVersionMax="47" xr10:uidLastSave="{00000000-0000-0000-0000-000000000000}"/>
  <workbookProtection workbookAlgorithmName="SHA-512" workbookHashValue="QwnTW3Ou4+Z5K536ewDZdxgWNWdExyzKkLBaAbR1VNiEPaxNLsxwXP5vzw+aMFGf7yUQyQL+lzn8uPdw+9SZOQ==" workbookSaltValue="k3VqCsjPCYk/jNErfs34OA==" workbookSpinCount="100000" lockStructure="1"/>
  <bookViews>
    <workbookView xWindow="0" yWindow="500" windowWidth="28800" windowHeight="16720" activeTab="1" xr2:uid="{00000000-000D-0000-FFFF-FFFF00000000}"/>
  </bookViews>
  <sheets>
    <sheet name="Data Handling Summary" sheetId="1" r:id="rId1"/>
    <sheet name="Analysis &amp; Charts" sheetId="2" r:id="rId2"/>
    <sheet name="Data Dictionary" sheetId="3" r:id="rId3"/>
    <sheet name="Reference" sheetId="4" r:id="rId4"/>
  </sheets>
  <definedNames>
    <definedName name="_xlchart.v1.10" hidden="1">'Analysis &amp; Charts'!$C$52:$C$75</definedName>
    <definedName name="_xlchart.v1.8" hidden="1">'Analysis &amp; Charts'!$B$52:$B$75</definedName>
    <definedName name="_xlchart.v1.9" hidden="1">'Analysis &amp; Charts'!$C$51</definedName>
    <definedName name="_xlchart.v2.0" hidden="1">'Analysis &amp; Charts'!$C$122:$C$127</definedName>
    <definedName name="_xlchart.v2.1" hidden="1">'Analysis &amp; Charts'!$D$122:$D$127</definedName>
    <definedName name="_xlchart.v2.2" hidden="1">'Analysis &amp; Charts'!$C$180:$C$188</definedName>
    <definedName name="_xlchart.v2.3" hidden="1">'Analysis &amp; Charts'!$D$180:$D$188</definedName>
    <definedName name="_xlchart.v2.4" hidden="1">'Analysis &amp; Charts'!$C$128:$C$134</definedName>
    <definedName name="_xlchart.v2.5" hidden="1">'Analysis &amp; Charts'!$D$128:$D$134</definedName>
    <definedName name="_xlchart.v2.6" hidden="1">'Analysis &amp; Charts'!$C$174:$C$179</definedName>
    <definedName name="_xlchart.v2.7" hidden="1">'Analysis &amp; Charts'!$D$174:$D$179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2aenZmNaYpIgylnwE04Q9rg02gg=="/>
    </ext>
  </extLst>
</workbook>
</file>

<file path=xl/calcChain.xml><?xml version="1.0" encoding="utf-8"?>
<calcChain xmlns="http://schemas.openxmlformats.org/spreadsheetml/2006/main">
  <c r="D118" i="2" l="1"/>
  <c r="D125" i="2" s="1"/>
  <c r="D126" i="2" l="1"/>
  <c r="D122" i="2"/>
  <c r="D124" i="2"/>
  <c r="D123" i="2"/>
  <c r="D127" i="2"/>
  <c r="C76" i="2"/>
  <c r="C28" i="2"/>
  <c r="C27" i="2"/>
  <c r="C231" i="2"/>
  <c r="C232" i="2"/>
  <c r="C230" i="2"/>
  <c r="C229" i="2"/>
  <c r="C228" i="2"/>
  <c r="C227" i="2"/>
  <c r="C226" i="2"/>
  <c r="C225" i="2"/>
  <c r="C224" i="2"/>
  <c r="C223" i="2"/>
  <c r="C222" i="2"/>
  <c r="C221" i="2"/>
  <c r="D226" i="2"/>
  <c r="D232" i="2"/>
  <c r="D231" i="2"/>
  <c r="D230" i="2"/>
  <c r="D229" i="2"/>
  <c r="D228" i="2"/>
  <c r="D227" i="2"/>
  <c r="D225" i="2"/>
  <c r="D224" i="2"/>
  <c r="D223" i="2"/>
  <c r="D222" i="2"/>
  <c r="D221" i="2"/>
  <c r="E225" i="2"/>
  <c r="E232" i="2"/>
  <c r="E231" i="2"/>
  <c r="E230" i="2"/>
  <c r="E229" i="2"/>
  <c r="E228" i="2"/>
  <c r="E227" i="2"/>
  <c r="E226" i="2"/>
  <c r="E224" i="2"/>
  <c r="E223" i="2"/>
  <c r="E222" i="2"/>
  <c r="E221" i="2"/>
  <c r="D171" i="2"/>
  <c r="D170" i="2"/>
  <c r="D119" i="2"/>
  <c r="H300" i="2"/>
  <c r="F300" i="2"/>
  <c r="D300" i="2"/>
  <c r="H265" i="2"/>
  <c r="F265" i="2"/>
  <c r="D265" i="2"/>
  <c r="D184" i="2" l="1"/>
  <c r="D180" i="2"/>
  <c r="D181" i="2"/>
  <c r="D183" i="2"/>
  <c r="D186" i="2"/>
  <c r="D182" i="2"/>
  <c r="D188" i="2"/>
  <c r="D185" i="2"/>
  <c r="D187" i="2"/>
  <c r="D174" i="2"/>
  <c r="D176" i="2"/>
  <c r="D177" i="2"/>
  <c r="D178" i="2"/>
  <c r="D179" i="2"/>
  <c r="D175" i="2"/>
  <c r="D128" i="2"/>
  <c r="D129" i="2"/>
  <c r="D131" i="2"/>
  <c r="D130" i="2"/>
  <c r="D134" i="2"/>
  <c r="D133" i="2"/>
  <c r="D132" i="2"/>
  <c r="C29" i="2"/>
  <c r="I300" i="2"/>
  <c r="D308" i="2" s="1"/>
  <c r="I265" i="2"/>
  <c r="D270" i="2" s="1"/>
  <c r="D273" i="2"/>
  <c r="D267" i="2"/>
  <c r="D268" i="2"/>
  <c r="D272" i="2"/>
  <c r="D304" i="2" l="1"/>
  <c r="D269" i="2"/>
  <c r="D271" i="2"/>
  <c r="D305" i="2"/>
  <c r="D303" i="2"/>
  <c r="D306" i="2"/>
  <c r="D307" i="2"/>
  <c r="D302" i="2"/>
  <c r="D28" i="2"/>
  <c r="D27" i="2"/>
  <c r="D29" i="2" l="1"/>
</calcChain>
</file>

<file path=xl/sharedStrings.xml><?xml version="1.0" encoding="utf-8"?>
<sst xmlns="http://schemas.openxmlformats.org/spreadsheetml/2006/main" count="447" uniqueCount="172">
  <si>
    <t>Number of bikes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</si>
  <si>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</si>
  <si>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</si>
  <si>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</si>
  <si>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</si>
  <si>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</si>
  <si>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</si>
  <si>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</si>
  <si>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</si>
  <si>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</si>
  <si>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</si>
  <si>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</si>
  <si>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</si>
  <si>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</si>
  <si>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</si>
  <si>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</si>
  <si>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</si>
  <si>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</si>
  <si>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</si>
  <si>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</si>
  <si>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</si>
  <si>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</si>
  <si>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</si>
  <si>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</si>
  <si>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Time Slot</t>
  </si>
  <si>
    <t>No. of Trans</t>
  </si>
  <si>
    <t>23:00 - 00:00</t>
  </si>
  <si>
    <t>Edgware Road Station, Marylebone</t>
  </si>
  <si>
    <t>Jubilee Plaza, Canary Wharf</t>
  </si>
  <si>
    <t>Aquatic Centre, Queen Elizabeth Olympic Park</t>
  </si>
  <si>
    <t>Royal Avenue 2, Chelsea</t>
  </si>
  <si>
    <t>Royal Avenue 1, Chelsea</t>
  </si>
  <si>
    <t>Concert Hall Approach 1, South Bank</t>
  </si>
  <si>
    <t>CBD</t>
  </si>
  <si>
    <t>Belgrove Street , King's Cross</t>
  </si>
  <si>
    <t>Waterloo Station 3, Waterloo</t>
  </si>
  <si>
    <t>Hyde Park Corner, Hyde Park</t>
  </si>
  <si>
    <t>Waterloo Station 1, Waterloo</t>
  </si>
  <si>
    <t>Albert Gate, Hyde Park</t>
  </si>
  <si>
    <t>Black Lion Gate, Kensington Gardens</t>
  </si>
  <si>
    <t>Hop Exchange, The Borough</t>
  </si>
  <si>
    <t>Wellington Arch, Hyde Park</t>
  </si>
  <si>
    <t>Wormwood Street, Liverpool Street</t>
  </si>
  <si>
    <t>Duke Street Hill, London Bridge</t>
  </si>
  <si>
    <t>TOP 10 STATIONS WHERE CYCLISTS START OFF</t>
  </si>
  <si>
    <t>Holborn Circus, Holborn</t>
  </si>
  <si>
    <t>Brushfield Street, Liverpool Street</t>
  </si>
  <si>
    <t>TOP 10 STATIONS WHERE CYCLISTS END AT</t>
  </si>
  <si>
    <t>Non-Peak Hours</t>
  </si>
  <si>
    <t>AM Peak Hours</t>
  </si>
  <si>
    <t>PM Peak Hours</t>
  </si>
  <si>
    <t>trans/hour</t>
  </si>
  <si>
    <t>Bike : Dock</t>
  </si>
  <si>
    <t>1 : 1.59</t>
  </si>
  <si>
    <t>Number of Transactions</t>
  </si>
  <si>
    <t>Year</t>
  </si>
  <si>
    <t>No. of Bikes</t>
  </si>
  <si>
    <t>Month</t>
  </si>
  <si>
    <t>Jan</t>
  </si>
  <si>
    <t>Feb</t>
  </si>
  <si>
    <t>Mar</t>
  </si>
  <si>
    <t>Apr</t>
  </si>
  <si>
    <t>May</t>
  </si>
  <si>
    <t>Jun</t>
  </si>
  <si>
    <t>Jul</t>
  </si>
  <si>
    <t>Aug</t>
  </si>
  <si>
    <t>Sep</t>
  </si>
  <si>
    <t>Oct</t>
  </si>
  <si>
    <t>Nov</t>
  </si>
  <si>
    <t>Dec</t>
  </si>
  <si>
    <t>Waterloo Station 2, Waterloo</t>
  </si>
  <si>
    <t>Crosswall, Tower</t>
  </si>
  <si>
    <t>STATION</t>
  </si>
  <si>
    <t>NO. OF TRANS</t>
  </si>
  <si>
    <t>Cheapside, Bank</t>
  </si>
  <si>
    <t>Triangle Car Park, Hyde Park</t>
  </si>
  <si>
    <t>Newgate Street , St. Paul's</t>
  </si>
  <si>
    <t>Soho Square , Soho</t>
  </si>
  <si>
    <t>AM Peak Period</t>
  </si>
  <si>
    <t>PM Peak Period</t>
  </si>
  <si>
    <t>Storey's Gate, Westminster</t>
  </si>
  <si>
    <t>Places to consider adding more docks to:</t>
  </si>
  <si>
    <t>TOP 5 STATIONS WHERE CYCLISTS START OFF (PEAK HOURS)</t>
  </si>
  <si>
    <t>TOP 5 STATIONS WHERE CYCLISTS END OFF (PEAK HOURS)</t>
  </si>
  <si>
    <t>TOP 5 STATIONS WHERE CYCLISTS START OFF (PEAK MONTHS)</t>
  </si>
  <si>
    <t>Peak months: May - Aug</t>
  </si>
  <si>
    <t>Places to consider adding more bikes to:</t>
  </si>
  <si>
    <t>TOP 5 STATIONS WHERE CYCLISTS END AT (PEAK MONTHS)</t>
  </si>
  <si>
    <t>No. of Docks</t>
  </si>
  <si>
    <t>STATIONS WITH MOST NUMBER OF DOCKS</t>
  </si>
  <si>
    <t>STATIONS WITH LEAST NUMBER OF DOCKS</t>
  </si>
  <si>
    <t>BACKGROUND STATS</t>
  </si>
  <si>
    <t>Number of Stations</t>
  </si>
  <si>
    <t>Number of Docks</t>
  </si>
  <si>
    <t>There is a possibility that santander_stations has not been updated since we get null values after LEFT JOIN to obtain street addresses corresponding to station id.</t>
  </si>
  <si>
    <t>One of the main venues of summer Olympics and Paralympics in 2012; high number of docks to cater to incoming crowd of spectators / participants involved in the events held there perhaps</t>
  </si>
  <si>
    <t xml:space="preserve"> </t>
  </si>
  <si>
    <t>184 bikes fewer in 2018 (per bike_id) which might've been stolen given the many transactions with NULL end_date (omitted from final calculation).</t>
  </si>
  <si>
    <t>Affluent area ('Suburb within Central London'); cycling to destinations may not be their top option</t>
  </si>
  <si>
    <t>No. of Transactions</t>
  </si>
  <si>
    <t>Technically there is capacity to add more bikes considering there are 7629 empty docks should all 12,943 bikes be utilised at one go.</t>
  </si>
  <si>
    <t>HYPOTHESIS</t>
  </si>
  <si>
    <t>Should the number of bikes / docks be increased during the peak hours?</t>
  </si>
  <si>
    <t>Obtained number of bikes, docks and stations from santander_stations.</t>
  </si>
  <si>
    <t>Counted number of transactions based on start_date and omitted those with end_date as NULL (for both hourly and monthly basis).</t>
  </si>
  <si>
    <t>Used COUNT DISTINCT (rental_id) and omitted NULL values in end_date to find out total number of transactions for each year (and a check to tally other analysis against).</t>
  </si>
  <si>
    <t>Derived at list of stations with highest amount of transactions by referencing name column from santander_station via LEFT JOIN with santander_2017/2018/2019</t>
  </si>
  <si>
    <t>FIELD</t>
  </si>
  <si>
    <t>DATA TYPE</t>
  </si>
  <si>
    <t>DESCRIPTION</t>
  </si>
  <si>
    <t>rental_id</t>
  </si>
  <si>
    <t>bike_id</t>
  </si>
  <si>
    <t>startstationid</t>
  </si>
  <si>
    <t>endstationid</t>
  </si>
  <si>
    <t>start_date</t>
  </si>
  <si>
    <t>end_date</t>
  </si>
  <si>
    <t>id</t>
  </si>
  <si>
    <t>latitude</t>
  </si>
  <si>
    <t>longitude</t>
  </si>
  <si>
    <t>name</t>
  </si>
  <si>
    <t>docks</t>
  </si>
  <si>
    <t>Numerical</t>
  </si>
  <si>
    <t>Text</t>
  </si>
  <si>
    <t>Date / Time</t>
  </si>
  <si>
    <t>ID issued to each bike</t>
  </si>
  <si>
    <t>ID issued to each transaction</t>
  </si>
  <si>
    <t>ID tagged to the docking station where cyclist ends journey at</t>
  </si>
  <si>
    <t>ID tagged to the docking station where cyclist starts journey from</t>
  </si>
  <si>
    <t>Date and time cyclist starts off journey at</t>
  </si>
  <si>
    <t>Date and time cyclist completes journey at</t>
  </si>
  <si>
    <t>Latitude of respective docking station</t>
  </si>
  <si>
    <t>ID tagged to the respective docking station</t>
  </si>
  <si>
    <t>Longitude of respective docking station</t>
  </si>
  <si>
    <t>Street location of respective docking station</t>
  </si>
  <si>
    <t>Number of docks at respective docking station</t>
  </si>
  <si>
    <t>RECOMMENDATION (WRT HYPOTHESIS)</t>
  </si>
  <si>
    <t>Update santander_stations - there should've been more docks and stations added to the list over the years (given that there are NULL values returned when matching the startstationid and endstationid to the dataset)</t>
  </si>
  <si>
    <t>Include more info in the transaction dataset - e.g. subscriber status, subscriber info - so we can identify subscribers / users demographics and make further deductions from that info (e.g. which age group uses the service most)</t>
  </si>
  <si>
    <t>Based on chart it seems like the transactions that occurred during the non-peak hours form the majority (50%) but it is</t>
  </si>
  <si>
    <t>There is 3% more transactions from 16:00 to 19:00 as compared to time frame from 07:00 - 10:00 and this may be attributed to</t>
  </si>
  <si>
    <t>Major road at 14km long running from central to suburban London, which may explain the high number</t>
  </si>
  <si>
    <t>to be noted that this number is a cumulation over a span of 18 hours as compared to 3 hours each of the other two</t>
  </si>
  <si>
    <t>(reflecting the significance of the contribution of these two time pockets).</t>
  </si>
  <si>
    <t xml:space="preserve">the possibility that the PM peak crowd is made up of a more diverse demographic of users, i.e. PM peak crowd may consist of </t>
  </si>
  <si>
    <t>more students as compared to the AM peak crowd since schools / lessons do not all start at the same time (especially at a tertiary</t>
  </si>
  <si>
    <t>level) but office hours generally do begin at a certain time (between 08:00 - 09:30).</t>
  </si>
  <si>
    <t>COMPARISON OVER THE PAST TWO YEARS FOR BROADER PERSPECTIVE</t>
  </si>
  <si>
    <t>Trend also disproves the theory that having more bikes available will faciliate more usage though the increase in usage may also be due to surcharge imposed as the fewer the people hogging the bikes,</t>
  </si>
  <si>
    <t>Total No. of Trans (07:00 - 10:00)</t>
  </si>
  <si>
    <t>Total No. of Trans (16:00 - 19:00)</t>
  </si>
  <si>
    <t>Compilation is done based on start times of transactions without a 'NULL' end time (so as to reflect a complete transaction). Significant peak from 08:00 - 09:00 and 17:00 - 19:00.</t>
  </si>
  <si>
    <t>Places to consider adding more bikes/docks to:</t>
  </si>
  <si>
    <t>RECOMMENDATION (WRT DATASET)</t>
  </si>
  <si>
    <t>Seems justifiable to increase the number of docks and bikes for the peak hours since there is indeed a huge surge during those periods but it is not cost effective nor practical to add more to the numbers solely for a few hours daily.</t>
  </si>
  <si>
    <t>Also to check calendar for any upcoming major event(s) that can trigger usage and plan where to strategically add on more bikes and docks at.</t>
  </si>
  <si>
    <t>Santander Cycles might have also taken approach to tackle the problem by introducing additional charges in case of no return (within 24 hours) as 2018 and 2019's data captured no NULL end_date entries.</t>
  </si>
  <si>
    <t>Max Amount of Time Spent per Transaction</t>
  </si>
  <si>
    <t>Min Amount of Time Spent per Transaction</t>
  </si>
  <si>
    <t>Avg Amount of Time Spent per Transaction</t>
  </si>
  <si>
    <t>6 days 11 hours 20 minutes</t>
  </si>
  <si>
    <t>1 minute</t>
  </si>
  <si>
    <t>19 minutes 32 seconds</t>
  </si>
  <si>
    <t>Avg Time per Transaction (08:00 - 09:00):</t>
  </si>
  <si>
    <t>Avg Time per Transaction (17:00 - 18:00):</t>
  </si>
  <si>
    <t>Avg Time per Transaction (18:00 - 19:00):</t>
  </si>
  <si>
    <t>15 Minutes 44 Seconds</t>
  </si>
  <si>
    <t>18 Minutes 28 Seconds</t>
  </si>
  <si>
    <t>18 Minutes 31 Seconds</t>
  </si>
  <si>
    <t>the more others get to use (e.g. 1 rider for 30 minutes straight vs 3 riders at 10-minute interval each).</t>
  </si>
  <si>
    <t xml:space="preserve">Would be more viable to implement more bikes and docks to cater to the warmer months instead at places where cyclists start off and end at the most, in conjunction with the curated routes Santander Cycles provides cyclists with. </t>
  </si>
  <si>
    <t>Situated near Waterloo station which is on three different lines and seem to all have docking stations (as inferred from Waterloo Stations 1 - 3 in santander_stations)</t>
  </si>
  <si>
    <t>Usage is generally higher during spring and summer, with the highest in July and the lowest in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</si>
</sst>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0"/>
      <color rgb="FF000000"/>
      <name val="Arial"/>
    </font>
    <font>
      <b/>
      <sz val="10"/>
      <color theme="1"/>
      <name val="Arial"/>
      <family val="2"/>
    </font>
    <font>
      <sz val="10"/>
      <color theme="1"/>
      <name val="Arial"/>
      <family val="2"/>
    </font>
    <font>
      <sz val="10"/>
      <color rgb="FF000000"/>
      <name val="Arial"/>
      <family val="2"/>
    </font>
    <font>
      <sz val="10"/>
      <color rgb="FF000000"/>
      <name val="Arial"/>
      <family val="2"/>
    </font>
    <font>
      <sz val="10"/>
      <color rgb="FF222222"/>
      <name val="Arial"/>
      <family val="2"/>
    </font>
    <font>
      <b/>
      <sz val="10"/>
      <color rgb="FF000000"/>
      <name val="Arial"/>
      <family val="2"/>
    </font>
    <font>
      <b/>
      <u/>
      <sz val="10"/>
      <color rgb="FF000000"/>
      <name val="Arial"/>
      <family val="2"/>
    </font>
    <font>
      <i/>
      <sz val="10"/>
      <color rgb="FFFF0000"/>
      <name val="Arial"/>
      <family val="2"/>
    </font>
    <font>
      <i/>
      <sz val="10"/>
      <color theme="5"/>
      <name val="Arial"/>
      <family val="2"/>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double">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vertical="center"/>
    </xf>
    <xf numFmtId="0" fontId="7" fillId="0" borderId="0" xfId="0" applyFont="1" applyAlignment="1">
      <alignment vertical="center"/>
    </xf>
    <xf numFmtId="164" fontId="3" fillId="0" borderId="0" xfId="0" applyNumberFormat="1" applyFont="1" applyAlignment="1">
      <alignment vertical="center"/>
    </xf>
    <xf numFmtId="1" fontId="3" fillId="0" borderId="0" xfId="0" applyNumberFormat="1" applyFont="1" applyAlignment="1">
      <alignment vertical="center"/>
    </xf>
    <xf numFmtId="49" fontId="3" fillId="0" borderId="0" xfId="0" applyNumberFormat="1" applyFont="1" applyAlignment="1">
      <alignment vertical="center"/>
    </xf>
    <xf numFmtId="43" fontId="3" fillId="0" borderId="0" xfId="0" applyNumberFormat="1" applyFont="1" applyAlignment="1">
      <alignment vertical="center"/>
    </xf>
    <xf numFmtId="0" fontId="6" fillId="0" borderId="0" xfId="0" applyFont="1" applyAlignment="1">
      <alignment vertical="center"/>
    </xf>
    <xf numFmtId="43" fontId="6" fillId="0" borderId="0" xfId="0" applyNumberFormat="1" applyFont="1" applyAlignment="1">
      <alignment vertical="center"/>
    </xf>
    <xf numFmtId="0" fontId="5" fillId="0" borderId="0" xfId="0" applyFont="1" applyAlignment="1">
      <alignment vertical="center"/>
    </xf>
    <xf numFmtId="164" fontId="3" fillId="0" borderId="0" xfId="1" applyNumberFormat="1" applyFont="1" applyAlignment="1">
      <alignment vertical="center"/>
    </xf>
    <xf numFmtId="164" fontId="6" fillId="0" borderId="0" xfId="0" applyNumberFormat="1" applyFont="1" applyAlignment="1">
      <alignment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vertical="center"/>
    </xf>
    <xf numFmtId="164" fontId="3" fillId="0" borderId="1" xfId="1" applyNumberFormat="1" applyFont="1" applyBorder="1" applyAlignment="1">
      <alignment vertical="center"/>
    </xf>
    <xf numFmtId="0" fontId="7" fillId="0" borderId="6" xfId="0" applyFont="1" applyBorder="1" applyAlignment="1">
      <alignment vertical="center"/>
    </xf>
    <xf numFmtId="0" fontId="7" fillId="0" borderId="5" xfId="0" applyFont="1" applyBorder="1" applyAlignment="1">
      <alignment vertical="center"/>
    </xf>
    <xf numFmtId="0" fontId="3" fillId="2" borderId="1" xfId="0" applyFont="1" applyFill="1" applyBorder="1" applyAlignment="1">
      <alignment vertical="center"/>
    </xf>
    <xf numFmtId="164" fontId="3" fillId="2" borderId="1" xfId="1" applyNumberFormat="1" applyFont="1" applyFill="1" applyBorder="1" applyAlignment="1">
      <alignment vertical="center"/>
    </xf>
    <xf numFmtId="164" fontId="3" fillId="0" borderId="1" xfId="1" applyNumberFormat="1" applyFont="1" applyFill="1" applyBorder="1" applyAlignment="1">
      <alignment vertical="center"/>
    </xf>
    <xf numFmtId="0" fontId="0" fillId="0" borderId="0" xfId="0" applyAlignment="1">
      <alignment vertical="center"/>
    </xf>
    <xf numFmtId="0" fontId="3" fillId="3" borderId="1" xfId="0" applyFont="1" applyFill="1" applyBorder="1" applyAlignment="1">
      <alignment vertical="center"/>
    </xf>
    <xf numFmtId="164" fontId="3" fillId="3" borderId="1" xfId="1" applyNumberFormat="1" applyFont="1" applyFill="1" applyBorder="1" applyAlignment="1">
      <alignment vertical="center"/>
    </xf>
    <xf numFmtId="164" fontId="3" fillId="0" borderId="1" xfId="0" applyNumberFormat="1" applyFont="1" applyBorder="1" applyAlignment="1">
      <alignment vertical="center"/>
    </xf>
    <xf numFmtId="9" fontId="3" fillId="0" borderId="0" xfId="2" applyFont="1" applyAlignment="1">
      <alignment vertical="center"/>
    </xf>
    <xf numFmtId="14" fontId="3" fillId="0" borderId="0" xfId="0" applyNumberFormat="1" applyFont="1" applyAlignment="1">
      <alignment vertical="center"/>
    </xf>
    <xf numFmtId="0" fontId="8" fillId="0" borderId="0" xfId="0" applyFont="1" applyAlignment="1">
      <alignment vertical="center"/>
    </xf>
    <xf numFmtId="0" fontId="9" fillId="0" borderId="0" xfId="0" applyFont="1" applyAlignment="1">
      <alignment vertical="center"/>
    </xf>
    <xf numFmtId="164" fontId="3" fillId="0" borderId="7" xfId="1" applyNumberFormat="1" applyFont="1" applyBorder="1" applyAlignment="1">
      <alignment vertical="center"/>
    </xf>
    <xf numFmtId="0" fontId="6"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6"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7" fillId="0" borderId="1" xfId="0" applyFont="1" applyBorder="1" applyAlignment="1">
      <alignment vertical="center"/>
    </xf>
    <xf numFmtId="0" fontId="0" fillId="0" borderId="1" xfId="0" applyBorder="1" applyAlignment="1">
      <alignment vertical="center"/>
    </xf>
    <xf numFmtId="0" fontId="6" fillId="0" borderId="1" xfId="0" applyFont="1" applyBorder="1" applyAlignment="1">
      <alignment horizontal="center" vertical="center"/>
    </xf>
    <xf numFmtId="0" fontId="6"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cellXfs>
  <cellStyles count="3">
    <cellStyle name="Comma" xfId="1" builtinId="3"/>
    <cellStyle name="Normal" xfId="0" builtinId="0"/>
    <cellStyle name="Per cent" xfId="2" builtinId="5"/>
  </cellStyles>
  <dxfs count="8">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_(* #,##0_);_(* \(#,##0\);_(* &quot;-&quot;??_);_(@_)"/>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Number of Transactions during Various Time Frames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CE3-1B4A-93BC-46798E4C7F2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CE3-1B4A-93BC-46798E4C7F2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CE3-1B4A-93BC-46798E4C7F2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Charts'!$B$27:$B$29</c:f>
              <c:strCache>
                <c:ptCount val="3"/>
                <c:pt idx="0">
                  <c:v>AM Peak Hours</c:v>
                </c:pt>
                <c:pt idx="1">
                  <c:v>PM Peak Hours</c:v>
                </c:pt>
                <c:pt idx="2">
                  <c:v>Non-Peak Hours</c:v>
                </c:pt>
              </c:strCache>
            </c:strRef>
          </c:cat>
          <c:val>
            <c:numRef>
              <c:f>'Analysis &amp; Charts'!$C$27:$C$29</c:f>
              <c:numCache>
                <c:formatCode>_(* #,##0_);_(* \(#,##0\);_(* "-"??_);_(@_)</c:formatCode>
                <c:ptCount val="3"/>
                <c:pt idx="0">
                  <c:v>2346742</c:v>
                </c:pt>
                <c:pt idx="1">
                  <c:v>2820128</c:v>
                </c:pt>
                <c:pt idx="2">
                  <c:v>5143193</c:v>
                </c:pt>
              </c:numCache>
            </c:numRef>
          </c:val>
          <c:extLst>
            <c:ext xmlns:c16="http://schemas.microsoft.com/office/drawing/2014/chart" uri="{C3380CC4-5D6E-409C-BE32-E72D297353CC}">
              <c16:uniqueId val="{00000000-A128-284F-B745-6518715CA8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&amp; Charts'!$C$220</c:f>
              <c:strCache>
                <c:ptCount val="1"/>
                <c:pt idx="0">
                  <c:v>2017</c:v>
                </c:pt>
              </c:strCache>
            </c:strRef>
          </c:tx>
          <c:spPr>
            <a:ln w="28575" cap="rnd">
              <a:solidFill>
                <a:schemeClr val="accent1"/>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Charts'!$C$221:$C$232</c:f>
              <c:numCache>
                <c:formatCode>_(* #,##0_);_(* \(#,##0\);_(* "-"??_);_(@_)</c:formatCode>
                <c:ptCount val="12"/>
                <c:pt idx="0">
                  <c:v>632496</c:v>
                </c:pt>
                <c:pt idx="1">
                  <c:v>612341</c:v>
                </c:pt>
                <c:pt idx="2">
                  <c:v>640052</c:v>
                </c:pt>
                <c:pt idx="3">
                  <c:v>908456</c:v>
                </c:pt>
                <c:pt idx="4">
                  <c:v>982931</c:v>
                </c:pt>
                <c:pt idx="5">
                  <c:v>1087203</c:v>
                </c:pt>
                <c:pt idx="6">
                  <c:v>1120710</c:v>
                </c:pt>
                <c:pt idx="7">
                  <c:v>982962</c:v>
                </c:pt>
                <c:pt idx="8">
                  <c:v>913275</c:v>
                </c:pt>
                <c:pt idx="9">
                  <c:v>951273</c:v>
                </c:pt>
                <c:pt idx="10">
                  <c:v>781786</c:v>
                </c:pt>
                <c:pt idx="11">
                  <c:v>526354</c:v>
                </c:pt>
              </c:numCache>
            </c:numRef>
          </c:val>
          <c:smooth val="0"/>
          <c:extLst>
            <c:ext xmlns:c16="http://schemas.microsoft.com/office/drawing/2014/chart" uri="{C3380CC4-5D6E-409C-BE32-E72D297353CC}">
              <c16:uniqueId val="{00000000-64CF-9748-9F34-133707B4EC20}"/>
            </c:ext>
          </c:extLst>
        </c:ser>
        <c:ser>
          <c:idx val="1"/>
          <c:order val="1"/>
          <c:tx>
            <c:strRef>
              <c:f>'Analysis &amp; Charts'!$D$220</c:f>
              <c:strCache>
                <c:ptCount val="1"/>
                <c:pt idx="0">
                  <c:v>2018</c:v>
                </c:pt>
              </c:strCache>
            </c:strRef>
          </c:tx>
          <c:spPr>
            <a:ln w="28575" cap="rnd">
              <a:solidFill>
                <a:schemeClr val="accent2"/>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Charts'!$D$221:$D$232</c:f>
              <c:numCache>
                <c:formatCode>_(* #,##0_);_(* \(#,##0\);_(* "-"??_);_(@_)</c:formatCode>
                <c:ptCount val="12"/>
                <c:pt idx="0">
                  <c:v>637781</c:v>
                </c:pt>
                <c:pt idx="1">
                  <c:v>568188</c:v>
                </c:pt>
                <c:pt idx="2">
                  <c:v>595999</c:v>
                </c:pt>
                <c:pt idx="3">
                  <c:v>813676</c:v>
                </c:pt>
                <c:pt idx="4">
                  <c:v>1099385</c:v>
                </c:pt>
                <c:pt idx="5">
                  <c:v>1168667</c:v>
                </c:pt>
                <c:pt idx="6">
                  <c:v>1239205</c:v>
                </c:pt>
                <c:pt idx="7">
                  <c:v>1046582</c:v>
                </c:pt>
                <c:pt idx="8">
                  <c:v>998118</c:v>
                </c:pt>
                <c:pt idx="9">
                  <c:v>967114</c:v>
                </c:pt>
                <c:pt idx="10">
                  <c:v>728658</c:v>
                </c:pt>
                <c:pt idx="11">
                  <c:v>578511</c:v>
                </c:pt>
              </c:numCache>
            </c:numRef>
          </c:val>
          <c:smooth val="0"/>
          <c:extLst>
            <c:ext xmlns:c16="http://schemas.microsoft.com/office/drawing/2014/chart" uri="{C3380CC4-5D6E-409C-BE32-E72D297353CC}">
              <c16:uniqueId val="{00000001-64CF-9748-9F34-133707B4EC20}"/>
            </c:ext>
          </c:extLst>
        </c:ser>
        <c:ser>
          <c:idx val="2"/>
          <c:order val="2"/>
          <c:tx>
            <c:strRef>
              <c:f>'Analysis &amp; Charts'!$E$220</c:f>
              <c:strCache>
                <c:ptCount val="1"/>
                <c:pt idx="0">
                  <c:v>2019</c:v>
                </c:pt>
              </c:strCache>
            </c:strRef>
          </c:tx>
          <c:spPr>
            <a:ln w="28575" cap="rnd">
              <a:solidFill>
                <a:schemeClr val="accent3"/>
              </a:solidFill>
              <a:round/>
            </a:ln>
            <a:effectLst/>
          </c:spPr>
          <c:marker>
            <c:symbol val="none"/>
          </c:marker>
          <c:cat>
            <c:strRef>
              <c:f>'Analysis &amp; Charts'!$B$221:$B$232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 &amp; Charts'!$E$221:$E$232</c:f>
              <c:numCache>
                <c:formatCode>_(* #,##0_);_(* \(#,##0\);_(* "-"??_);_(@_)</c:formatCode>
                <c:ptCount val="12"/>
                <c:pt idx="0">
                  <c:v>679520</c:v>
                </c:pt>
                <c:pt idx="1">
                  <c:v>691770</c:v>
                </c:pt>
                <c:pt idx="2">
                  <c:v>784410</c:v>
                </c:pt>
                <c:pt idx="3">
                  <c:v>880513</c:v>
                </c:pt>
                <c:pt idx="4">
                  <c:v>995968</c:v>
                </c:pt>
                <c:pt idx="5">
                  <c:v>993747</c:v>
                </c:pt>
                <c:pt idx="6">
                  <c:v>1138703</c:v>
                </c:pt>
                <c:pt idx="7">
                  <c:v>1041301</c:v>
                </c:pt>
                <c:pt idx="8">
                  <c:v>955206</c:v>
                </c:pt>
                <c:pt idx="9">
                  <c:v>841772</c:v>
                </c:pt>
                <c:pt idx="10">
                  <c:v>721661</c:v>
                </c:pt>
                <c:pt idx="11">
                  <c:v>585492</c:v>
                </c:pt>
              </c:numCache>
            </c:numRef>
          </c:val>
          <c:smooth val="0"/>
          <c:extLst>
            <c:ext xmlns:c16="http://schemas.microsoft.com/office/drawing/2014/chart" uri="{C3380CC4-5D6E-409C-BE32-E72D297353CC}">
              <c16:uniqueId val="{00000002-64CF-9748-9F34-133707B4EC20}"/>
            </c:ext>
          </c:extLst>
        </c:ser>
        <c:dLbls>
          <c:showLegendKey val="0"/>
          <c:showVal val="0"/>
          <c:showCatName val="0"/>
          <c:showSerName val="0"/>
          <c:showPercent val="0"/>
          <c:showBubbleSize val="0"/>
        </c:dLbls>
        <c:smooth val="0"/>
        <c:axId val="913929792"/>
        <c:axId val="915645296"/>
      </c:lineChart>
      <c:catAx>
        <c:axId val="9139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645296"/>
        <c:crosses val="autoZero"/>
        <c:auto val="1"/>
        <c:lblAlgn val="ctr"/>
        <c:lblOffset val="100"/>
        <c:noMultiLvlLbl val="0"/>
      </c:catAx>
      <c:valAx>
        <c:axId val="915645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92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Bikes</a:t>
            </a:r>
            <a:r>
              <a:rPr lang="en-GB" baseline="0"/>
              <a:t> vs Docks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Charts'!$C$193</c:f>
              <c:strCache>
                <c:ptCount val="1"/>
                <c:pt idx="0">
                  <c:v> No. of Bikes </c:v>
                </c:pt>
              </c:strCache>
            </c:strRef>
          </c:tx>
          <c:spPr>
            <a:solidFill>
              <a:schemeClr val="accent2"/>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Charts'!$C$194:$C$196</c:f>
              <c:numCache>
                <c:formatCode>_(* #,##0_);_(* \(#,##0\);_(* "-"??_);_(@_)</c:formatCode>
                <c:ptCount val="3"/>
                <c:pt idx="0">
                  <c:v>13118</c:v>
                </c:pt>
                <c:pt idx="1">
                  <c:v>12934</c:v>
                </c:pt>
                <c:pt idx="2">
                  <c:v>12943</c:v>
                </c:pt>
              </c:numCache>
            </c:numRef>
          </c:val>
          <c:extLst>
            <c:ext xmlns:c16="http://schemas.microsoft.com/office/drawing/2014/chart" uri="{C3380CC4-5D6E-409C-BE32-E72D297353CC}">
              <c16:uniqueId val="{00000000-77C9-3E44-96FF-833907CD4A76}"/>
            </c:ext>
          </c:extLst>
        </c:ser>
        <c:ser>
          <c:idx val="1"/>
          <c:order val="1"/>
          <c:tx>
            <c:strRef>
              <c:f>'Analysis &amp; Charts'!$D$193</c:f>
              <c:strCache>
                <c:ptCount val="1"/>
                <c:pt idx="0">
                  <c:v>No. of Docks</c:v>
                </c:pt>
              </c:strCache>
            </c:strRef>
          </c:tx>
          <c:spPr>
            <a:solidFill>
              <a:schemeClr val="accent4"/>
            </a:solidFill>
            <a:ln>
              <a:noFill/>
            </a:ln>
            <a:effectLst/>
          </c:spPr>
          <c:invertIfNegative val="0"/>
          <c:cat>
            <c:numRef>
              <c:f>'Analysis &amp; Charts'!$B$194:$B$196</c:f>
              <c:numCache>
                <c:formatCode>General</c:formatCode>
                <c:ptCount val="3"/>
                <c:pt idx="0">
                  <c:v>2017</c:v>
                </c:pt>
                <c:pt idx="1">
                  <c:v>2018</c:v>
                </c:pt>
                <c:pt idx="2">
                  <c:v>2019</c:v>
                </c:pt>
              </c:numCache>
            </c:numRef>
          </c:cat>
          <c:val>
            <c:numRef>
              <c:f>'Analysis &amp; Charts'!$D$194:$D$196</c:f>
              <c:numCache>
                <c:formatCode>_(* #,##0_);_(* \(#,##0\);_(* "-"??_);_(@_)</c:formatCode>
                <c:ptCount val="3"/>
                <c:pt idx="0">
                  <c:v>20572</c:v>
                </c:pt>
                <c:pt idx="1">
                  <c:v>20572</c:v>
                </c:pt>
                <c:pt idx="2">
                  <c:v>20572</c:v>
                </c:pt>
              </c:numCache>
            </c:numRef>
          </c:val>
          <c:extLst>
            <c:ext xmlns:c16="http://schemas.microsoft.com/office/drawing/2014/chart" uri="{C3380CC4-5D6E-409C-BE32-E72D297353CC}">
              <c16:uniqueId val="{00000001-77C9-3E44-96FF-833907CD4A76}"/>
            </c:ext>
          </c:extLst>
        </c:ser>
        <c:dLbls>
          <c:showLegendKey val="0"/>
          <c:showVal val="0"/>
          <c:showCatName val="0"/>
          <c:showSerName val="0"/>
          <c:showPercent val="0"/>
          <c:showBubbleSize val="0"/>
        </c:dLbls>
        <c:gapWidth val="219"/>
        <c:overlap val="-27"/>
        <c:axId val="928483936"/>
        <c:axId val="924594608"/>
      </c:barChart>
      <c:catAx>
        <c:axId val="9284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594608"/>
        <c:crosses val="autoZero"/>
        <c:auto val="1"/>
        <c:lblAlgn val="ctr"/>
        <c:lblOffset val="100"/>
        <c:noMultiLvlLbl val="0"/>
      </c:catAx>
      <c:valAx>
        <c:axId val="9245946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4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 &amp; Charts'!$G$193</c:f>
              <c:strCache>
                <c:ptCount val="1"/>
                <c:pt idx="0">
                  <c:v>Number of Transactions</c:v>
                </c:pt>
              </c:strCache>
            </c:strRef>
          </c:tx>
          <c:spPr>
            <a:solidFill>
              <a:schemeClr val="accent1"/>
            </a:solidFill>
            <a:ln>
              <a:noFill/>
            </a:ln>
            <a:effectLst/>
          </c:spPr>
          <c:invertIfNegative val="0"/>
          <c:cat>
            <c:numRef>
              <c:f>'Analysis &amp; Charts'!$F$194:$F$196</c:f>
              <c:numCache>
                <c:formatCode>General</c:formatCode>
                <c:ptCount val="3"/>
                <c:pt idx="0">
                  <c:v>2017</c:v>
                </c:pt>
                <c:pt idx="1">
                  <c:v>2018</c:v>
                </c:pt>
                <c:pt idx="2">
                  <c:v>2019</c:v>
                </c:pt>
              </c:numCache>
            </c:numRef>
          </c:cat>
          <c:val>
            <c:numRef>
              <c:f>'Analysis &amp; Charts'!$G$194:$G$196</c:f>
              <c:numCache>
                <c:formatCode>_(* #,##0_);_(* \(#,##0\);_(* "-"??_);_(@_)</c:formatCode>
                <c:ptCount val="3"/>
                <c:pt idx="0">
                  <c:v>10139839</c:v>
                </c:pt>
                <c:pt idx="1">
                  <c:v>10441884</c:v>
                </c:pt>
                <c:pt idx="2">
                  <c:v>10310063</c:v>
                </c:pt>
              </c:numCache>
            </c:numRef>
          </c:val>
          <c:extLst>
            <c:ext xmlns:c16="http://schemas.microsoft.com/office/drawing/2014/chart" uri="{C3380CC4-5D6E-409C-BE32-E72D297353CC}">
              <c16:uniqueId val="{00000000-2B4A-8A4D-B7CD-D5B758116CFE}"/>
            </c:ext>
          </c:extLst>
        </c:ser>
        <c:dLbls>
          <c:showLegendKey val="0"/>
          <c:showVal val="0"/>
          <c:showCatName val="0"/>
          <c:showSerName val="0"/>
          <c:showPercent val="0"/>
          <c:showBubbleSize val="0"/>
        </c:dLbls>
        <c:gapWidth val="219"/>
        <c:overlap val="-27"/>
        <c:axId val="924204464"/>
        <c:axId val="928512176"/>
      </c:barChart>
      <c:catAx>
        <c:axId val="9242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512176"/>
        <c:crosses val="autoZero"/>
        <c:auto val="1"/>
        <c:lblAlgn val="ctr"/>
        <c:lblOffset val="100"/>
        <c:noMultiLvlLbl val="0"/>
      </c:catAx>
      <c:valAx>
        <c:axId val="9285121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20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TOP</a:t>
            </a:r>
            <a:r>
              <a:rPr lang="en-GB" baseline="0"/>
              <a:t> STARTINg &amp; ending stations</a:t>
            </a:r>
            <a:endParaRPr lang="en-GB"/>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A18-BB4B-B694-982CA3DAA5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A18-BB4B-B694-982CA3DAA57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A18-BB4B-B694-982CA3DAA57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A18-BB4B-B694-982CA3DAA57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A18-BB4B-B694-982CA3DAA57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A18-BB4B-B694-982CA3DAA57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A18-BB4B-B694-982CA3DAA578}"/>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A18-BB4B-B694-982CA3DAA578}"/>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A18-BB4B-B694-982CA3DAA578}"/>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A18-BB4B-B694-982CA3DAA578}"/>
                </c:ext>
              </c:extLst>
            </c:dLbl>
            <c:dLbl>
              <c:idx val="3"/>
              <c:tx>
                <c:rich>
                  <a:bodyPr/>
                  <a:lstStyle/>
                  <a:p>
                    <a:fld id="{1C84E10C-C74F-A942-8F9B-22358A4AC282}"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A18-BB4B-B694-982CA3DAA578}"/>
                </c:ext>
              </c:extLst>
            </c:dLbl>
            <c:dLbl>
              <c:idx val="4"/>
              <c:tx>
                <c:rich>
                  <a:bodyPr/>
                  <a:lstStyle/>
                  <a:p>
                    <a:fld id="{2621C282-C68A-F243-B4A5-F85B87996F9B}"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1A18-BB4B-B694-982CA3DAA578}"/>
                </c:ext>
              </c:extLst>
            </c:dLbl>
            <c:dLbl>
              <c:idx val="5"/>
              <c:tx>
                <c:rich>
                  <a:bodyPr/>
                  <a:lstStyle/>
                  <a:p>
                    <a:fld id="{A4B831FD-B458-7E4A-A80F-C6C9165050FD}" type="PERCENTAGE">
                      <a:rPr lang="en-US" baseline="0"/>
                      <a:pPr/>
                      <a:t>[PERCENTAGE]</a:t>
                    </a:fld>
                    <a:endParaRPr lang="en-GB"/>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1A18-BB4B-B694-982CA3DAA578}"/>
                </c:ext>
              </c:extLst>
            </c:dLbl>
            <c:dLbl>
              <c:idx val="6"/>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A18-BB4B-B694-982CA3DAA57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&amp; Charts'!$C$302:$C$308</c:f>
              <c:strCache>
                <c:ptCount val="7"/>
                <c:pt idx="0">
                  <c:v>Hyde Park Corner, Hyde Park</c:v>
                </c:pt>
                <c:pt idx="1">
                  <c:v>Belgrove Street , King's Cross</c:v>
                </c:pt>
                <c:pt idx="2">
                  <c:v>Albert Gate, Hyde Park</c:v>
                </c:pt>
                <c:pt idx="3">
                  <c:v>Black Lion Gate, Kensington Gardens</c:v>
                </c:pt>
                <c:pt idx="4">
                  <c:v>Waterloo Station 3, Waterloo</c:v>
                </c:pt>
                <c:pt idx="5">
                  <c:v>Triangle Car Park, Hyde Park</c:v>
                </c:pt>
                <c:pt idx="6">
                  <c:v>Wellington Arch, Hyde Park</c:v>
                </c:pt>
              </c:strCache>
            </c:strRef>
          </c:cat>
          <c:val>
            <c:numRef>
              <c:f>'Analysis &amp; Charts'!$D$302:$D$308</c:f>
              <c:numCache>
                <c:formatCode>0%</c:formatCode>
                <c:ptCount val="7"/>
                <c:pt idx="0">
                  <c:v>0.20402015113350125</c:v>
                </c:pt>
                <c:pt idx="1">
                  <c:v>0.20901964735516373</c:v>
                </c:pt>
                <c:pt idx="2">
                  <c:v>0.17695113350125943</c:v>
                </c:pt>
                <c:pt idx="3">
                  <c:v>0.17111738035264484</c:v>
                </c:pt>
                <c:pt idx="4">
                  <c:v>0.10322821158690176</c:v>
                </c:pt>
                <c:pt idx="5">
                  <c:v>7.8067506297229222E-2</c:v>
                </c:pt>
                <c:pt idx="6">
                  <c:v>3.1262468513853905E-2</c:v>
                </c:pt>
              </c:numCache>
            </c:numRef>
          </c:val>
          <c:extLst>
            <c:ext xmlns:c16="http://schemas.microsoft.com/office/drawing/2014/chart" uri="{C3380CC4-5D6E-409C-BE32-E72D297353CC}">
              <c16:uniqueId val="{00000000-1A18-BB4B-B694-982CA3DAA57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_xlchart.v1.10</cx:f>
      </cx:numDim>
    </cx:data>
  </cx:chartData>
  <cx:chart>
    <cx:title pos="t" align="ctr" overlay="0">
      <cx:tx>
        <cx:txData>
          <cx:v>Number of Transactions Every Hour</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Number of Transactions Every Hour</a:t>
          </a:r>
        </a:p>
      </cx:txPr>
    </cx:title>
    <cx:plotArea>
      <cx:plotAreaRegion>
        <cx:series layoutId="clusteredColumn" uniqueId="{BE6A45D2-33BA-FD42-A616-43452F3BAC47}" formatIdx="0">
          <cx:tx>
            <cx:txData>
              <cx:f>_xlchart.v1.9</cx:f>
              <cx:v> No. of Transactions </cx:v>
            </cx:txData>
          </cx:tx>
          <cx:dataId val="0"/>
          <cx:layoutPr>
            <cx:aggregation/>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 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 AM PEAK PERIOD</a:t>
          </a:r>
        </a:p>
      </cx:txPr>
    </cx:title>
    <cx:plotArea>
      <cx:plotAreaRegion>
        <cx:series layoutId="funnel" uniqueId="{3BED7042-644D-2148-90B8-226794B598B6}">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138130F2-3174-F742-8E47-CCED6BFC9812}">
          <cx:dataLabels>
            <cx:visibility seriesName="0" categoryName="0" value="1"/>
          </cx:dataLabels>
          <cx:dataId val="0"/>
        </cx:series>
      </cx:plotAreaRegion>
      <cx:axis id="0">
        <cx:catScaling gapWidth="0.0599999987"/>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AM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AM PEAK PERIOD</a:t>
          </a:r>
        </a:p>
      </cx:txPr>
    </cx:title>
    <cx:plotArea>
      <cx:plotAreaRegion>
        <cx:series layoutId="funnel" uniqueId="{329018D0-C0FF-6C45-8A29-29AF3FE3335E}">
          <cx:dataLabels>
            <cx:visibility seriesName="0" categoryName="0" value="1"/>
          </cx:dataLabels>
          <cx:dataId val="0"/>
        </cx:series>
      </cx:plotAreaRegion>
      <cx:axis id="0">
        <cx:catScaling gapWidth="0.0599999987"/>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PM PEAK PERIOD</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Arial"/>
              <a:cs typeface="Arial"/>
            </a:rPr>
            <a:t>PM PEAK PERIOD</a:t>
          </a:r>
        </a:p>
      </cx:txPr>
    </cx:title>
    <cx:plotArea>
      <cx:plotAreaRegion>
        <cx:series layoutId="funnel" uniqueId="{5D3751C0-4CEE-0645-AC89-663C9AE8DBD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3.xml"/><Relationship Id="rId3" Type="http://schemas.openxmlformats.org/officeDocument/2006/relationships/chart" Target="../charts/chart2.xml"/><Relationship Id="rId7"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5.xml"/><Relationship Id="rId4" Type="http://schemas.openxmlformats.org/officeDocument/2006/relationships/chart" Target="../charts/chart3.xml"/><Relationship Id="rId9"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3</xdr:col>
      <xdr:colOff>171450</xdr:colOff>
      <xdr:row>51</xdr:row>
      <xdr:rowOff>31750</xdr:rowOff>
    </xdr:from>
    <xdr:to>
      <xdr:col>9</xdr:col>
      <xdr:colOff>1054100</xdr:colOff>
      <xdr:row>75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FD45C48-3112-6249-A5AD-1AFBA54999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64250" y="9747250"/>
              <a:ext cx="8870950" cy="46164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273050</xdr:colOff>
      <xdr:row>29</xdr:row>
      <xdr:rowOff>158750</xdr:rowOff>
    </xdr:from>
    <xdr:to>
      <xdr:col>3</xdr:col>
      <xdr:colOff>2159000</xdr:colOff>
      <xdr:row>48</xdr:row>
      <xdr:rowOff>50800</xdr:rowOff>
    </xdr:to>
    <xdr:graphicFrame macro="">
      <xdr:nvGraphicFramePr>
        <xdr:cNvPr id="3" name="Chart 2">
          <a:extLst>
            <a:ext uri="{FF2B5EF4-FFF2-40B4-BE49-F238E27FC236}">
              <a16:creationId xmlns:a16="http://schemas.microsoft.com/office/drawing/2014/main" id="{CAD96D6A-0D57-1A42-A0E2-948426851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349250</xdr:colOff>
      <xdr:row>218</xdr:row>
      <xdr:rowOff>171450</xdr:rowOff>
    </xdr:from>
    <xdr:to>
      <xdr:col>11</xdr:col>
      <xdr:colOff>482600</xdr:colOff>
      <xdr:row>238</xdr:row>
      <xdr:rowOff>38100</xdr:rowOff>
    </xdr:to>
    <xdr:graphicFrame macro="">
      <xdr:nvGraphicFramePr>
        <xdr:cNvPr id="14" name="Chart 13">
          <a:extLst>
            <a:ext uri="{FF2B5EF4-FFF2-40B4-BE49-F238E27FC236}">
              <a16:creationId xmlns:a16="http://schemas.microsoft.com/office/drawing/2014/main" id="{12AABBC8-FCC9-3345-942E-75CE1E2F1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1797050</xdr:colOff>
      <xdr:row>196</xdr:row>
      <xdr:rowOff>107950</xdr:rowOff>
    </xdr:from>
    <xdr:to>
      <xdr:col>4</xdr:col>
      <xdr:colOff>101600</xdr:colOff>
      <xdr:row>213</xdr:row>
      <xdr:rowOff>101600</xdr:rowOff>
    </xdr:to>
    <xdr:graphicFrame macro="">
      <xdr:nvGraphicFramePr>
        <xdr:cNvPr id="17" name="Chart 16">
          <a:extLst>
            <a:ext uri="{FF2B5EF4-FFF2-40B4-BE49-F238E27FC236}">
              <a16:creationId xmlns:a16="http://schemas.microsoft.com/office/drawing/2014/main" id="{38731E34-DC21-384F-92E2-9134D312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1016000</xdr:colOff>
      <xdr:row>196</xdr:row>
      <xdr:rowOff>95250</xdr:rowOff>
    </xdr:from>
    <xdr:to>
      <xdr:col>10</xdr:col>
      <xdr:colOff>127000</xdr:colOff>
      <xdr:row>213</xdr:row>
      <xdr:rowOff>127000</xdr:rowOff>
    </xdr:to>
    <xdr:graphicFrame macro="">
      <xdr:nvGraphicFramePr>
        <xdr:cNvPr id="19" name="Chart 18">
          <a:extLst>
            <a:ext uri="{FF2B5EF4-FFF2-40B4-BE49-F238E27FC236}">
              <a16:creationId xmlns:a16="http://schemas.microsoft.com/office/drawing/2014/main" id="{3B747FE8-C59B-7447-9709-ADE61BFA3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222250</xdr:colOff>
      <xdr:row>257</xdr:row>
      <xdr:rowOff>171450</xdr:rowOff>
    </xdr:from>
    <xdr:to>
      <xdr:col>15</xdr:col>
      <xdr:colOff>0</xdr:colOff>
      <xdr:row>289</xdr:row>
      <xdr:rowOff>152400</xdr:rowOff>
    </xdr:to>
    <xdr:graphicFrame macro="">
      <xdr:nvGraphicFramePr>
        <xdr:cNvPr id="21" name="Chart 20">
          <a:extLst>
            <a:ext uri="{FF2B5EF4-FFF2-40B4-BE49-F238E27FC236}">
              <a16:creationId xmlns:a16="http://schemas.microsoft.com/office/drawing/2014/main" id="{7B87DF96-317D-5E40-960A-D0C8D8F0E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349250</xdr:colOff>
      <xdr:row>87</xdr:row>
      <xdr:rowOff>69850</xdr:rowOff>
    </xdr:from>
    <xdr:to>
      <xdr:col>8</xdr:col>
      <xdr:colOff>501650</xdr:colOff>
      <xdr:row>101</xdr:row>
      <xdr:rowOff>146050</xdr:rowOff>
    </xdr:to>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40D74DA0-68CF-4847-AA67-8B743AB1B5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705850" y="16643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349250</xdr:colOff>
      <xdr:row>102</xdr:row>
      <xdr:rowOff>158750</xdr:rowOff>
    </xdr:from>
    <xdr:to>
      <xdr:col>8</xdr:col>
      <xdr:colOff>501650</xdr:colOff>
      <xdr:row>117</xdr:row>
      <xdr:rowOff>44450</xdr:rowOff>
    </xdr:to>
    <mc:AlternateContent xmlns:mc="http://schemas.openxmlformats.org/markup-compatibility/2006">
      <mc:Choice xmlns:cx2="http://schemas.microsoft.com/office/drawing/2015/10/21/chartex" Requires="cx2">
        <xdr:graphicFrame macro="">
          <xdr:nvGraphicFramePr>
            <xdr:cNvPr id="23" name="Chart 22">
              <a:extLst>
                <a:ext uri="{FF2B5EF4-FFF2-40B4-BE49-F238E27FC236}">
                  <a16:creationId xmlns:a16="http://schemas.microsoft.com/office/drawing/2014/main" id="{9C73AAD5-EB97-0C49-886A-F377454180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05850" y="195897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222250</xdr:colOff>
      <xdr:row>139</xdr:row>
      <xdr:rowOff>69850</xdr:rowOff>
    </xdr:from>
    <xdr:to>
      <xdr:col>8</xdr:col>
      <xdr:colOff>374650</xdr:colOff>
      <xdr:row>153</xdr:row>
      <xdr:rowOff>146050</xdr:rowOff>
    </xdr:to>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CF5E8487-EA00-A243-82F6-BD9ACF5CC1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8578850" y="26549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196850</xdr:colOff>
      <xdr:row>154</xdr:row>
      <xdr:rowOff>133350</xdr:rowOff>
    </xdr:from>
    <xdr:to>
      <xdr:col>8</xdr:col>
      <xdr:colOff>349250</xdr:colOff>
      <xdr:row>169</xdr:row>
      <xdr:rowOff>19050</xdr:rowOff>
    </xdr:to>
    <mc:AlternateContent xmlns:mc="http://schemas.openxmlformats.org/markup-compatibility/2006">
      <mc:Choice xmlns:cx2="http://schemas.microsoft.com/office/drawing/2015/10/21/chartex" Requires="cx2">
        <xdr:graphicFrame macro="">
          <xdr:nvGraphicFramePr>
            <xdr:cNvPr id="25" name="Chart 24">
              <a:extLst>
                <a:ext uri="{FF2B5EF4-FFF2-40B4-BE49-F238E27FC236}">
                  <a16:creationId xmlns:a16="http://schemas.microsoft.com/office/drawing/2014/main" id="{52749896-D96B-A647-B77D-5913F0CB8E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553450" y="29470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A1A87B-7DB8-9B4C-96CC-3C5E6B05FF0F}" name="Table2" displayName="Table2" ref="B2:D13" totalsRowShown="0" headerRowDxfId="7">
  <autoFilter ref="B2:D13" xr:uid="{33AC3CBF-D33E-9B42-BFF7-0DDABD934368}"/>
  <tableColumns count="3">
    <tableColumn id="1" xr3:uid="{060F7392-2A44-6E47-9017-BE171F2F9B21}" name="FIELD" dataDxfId="6"/>
    <tableColumn id="2" xr3:uid="{CA6E8E89-42C1-254E-9852-CBE7B6E30B27}" name="DATA TYPE" dataDxfId="5"/>
    <tableColumn id="3" xr3:uid="{98CE4862-B902-624B-83CB-56503A9AD6FA}" name="DESCRIPTION" dataDxfId="4"/>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B0AA2-8460-574A-BFCB-7B35E71F3EA8}" name="Table3" displayName="Table3" ref="B4:C14" totalsRowShown="0">
  <autoFilter ref="B4:C14" xr:uid="{5B8C0B84-E997-424E-8EDB-ED781FD99D8B}"/>
  <tableColumns count="2">
    <tableColumn id="1" xr3:uid="{77FC5E90-3DCA-7A4B-8902-ECCB56B29CAE}" name="TOP 10 STATIONS WHERE CYCLISTS START OFF" dataDxfId="3"/>
    <tableColumn id="2" xr3:uid="{9F9325F2-450E-8546-BD41-434F4FE7EF07}" name="No. of Trans" dataDxfId="2" dataCellStyle="Comma"/>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4652AF-887B-4644-82C8-8F141E6E6202}" name="Table4" displayName="Table4" ref="E4:F14" totalsRowShown="0">
  <autoFilter ref="E4:F14" xr:uid="{69283D37-4106-0242-8121-B451662033E2}"/>
  <tableColumns count="2">
    <tableColumn id="1" xr3:uid="{FB2E8DA9-AF2E-E747-AB82-7162DC4F7B41}" name="TOP 10 STATIONS WHERE CYCLISTS END AT" dataDxfId="1"/>
    <tableColumn id="2" xr3:uid="{6C1F3411-AB2B-294C-BE8A-2B74409F76B1}" name="No. of Trans" dataDxfId="0" dataCellStyle="Comma"/>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C1000"/>
  <sheetViews>
    <sheetView workbookViewId="0">
      <selection activeCell="B9" sqref="B9"/>
    </sheetView>
  </sheetViews>
  <sheetFormatPr baseColWidth="10" defaultColWidth="14.5" defaultRowHeight="15" customHeight="1" x14ac:dyDescent="0.15"/>
  <cols>
    <col min="1" max="1" width="7.5" customWidth="1"/>
    <col min="2" max="2" width="23.6640625" customWidth="1"/>
    <col min="3" max="7" width="14.5" customWidth="1"/>
  </cols>
  <sheetData>
    <row r="1" spans="2:3" ht="15.75" customHeight="1" x14ac:dyDescent="0.15">
      <c r="B1" s="1"/>
      <c r="C1" s="2"/>
    </row>
    <row r="2" spans="2:3" ht="15.75" customHeight="1" x14ac:dyDescent="0.15">
      <c r="B2" s="2"/>
    </row>
    <row r="3" spans="2:3" ht="15.75" customHeight="1" x14ac:dyDescent="0.15">
      <c r="B3" s="2"/>
    </row>
    <row r="4" spans="2:3" ht="15.75" customHeight="1" x14ac:dyDescent="0.15"/>
    <row r="5" spans="2:3" ht="15.75" customHeight="1" x14ac:dyDescent="0.15">
      <c r="B5" s="3" t="s">
        <v>103</v>
      </c>
    </row>
    <row r="6" spans="2:3" ht="15.75" customHeight="1" x14ac:dyDescent="0.15">
      <c r="B6" s="3" t="s">
        <v>105</v>
      </c>
    </row>
    <row r="7" spans="2:3" ht="15.75" customHeight="1" x14ac:dyDescent="0.15">
      <c r="B7" s="3" t="s">
        <v>104</v>
      </c>
    </row>
    <row r="8" spans="2:3" ht="15.75" customHeight="1" x14ac:dyDescent="0.15">
      <c r="B8" s="3" t="s">
        <v>106</v>
      </c>
    </row>
    <row r="9" spans="2:3" ht="15.75" customHeight="1" x14ac:dyDescent="0.15"/>
    <row r="10" spans="2:3" ht="15.75" customHeight="1" x14ac:dyDescent="0.15"/>
    <row r="11" spans="2:3" ht="15.75" customHeight="1" x14ac:dyDescent="0.15"/>
    <row r="12" spans="2:3" ht="15.75" customHeight="1" x14ac:dyDescent="0.15"/>
    <row r="13" spans="2:3" ht="15.75" customHeight="1" x14ac:dyDescent="0.15"/>
    <row r="14" spans="2:3" ht="15.75" customHeight="1" x14ac:dyDescent="0.15"/>
    <row r="15" spans="2:3" ht="15.75" customHeight="1" x14ac:dyDescent="0.15"/>
    <row r="16" spans="2: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1089"/>
  <sheetViews>
    <sheetView tabSelected="1" topLeftCell="A30" workbookViewId="0">
      <selection activeCell="B235" sqref="B235"/>
    </sheetView>
  </sheetViews>
  <sheetFormatPr baseColWidth="10" defaultColWidth="14.5" defaultRowHeight="15" customHeight="1" x14ac:dyDescent="0.15"/>
  <cols>
    <col min="1" max="1" width="14.5" style="4"/>
    <col min="2" max="2" width="34.33203125" style="4" customWidth="1"/>
    <col min="3" max="3" width="28.5" style="4" bestFit="1" customWidth="1"/>
    <col min="4" max="4" width="32.33203125" style="4" customWidth="1"/>
    <col min="5" max="7" width="14.5" style="4" customWidth="1"/>
    <col min="8" max="16384" width="14.5" style="4"/>
  </cols>
  <sheetData>
    <row r="1" spans="2:4" ht="15.75" customHeight="1" x14ac:dyDescent="0.15"/>
    <row r="2" spans="2:4" ht="15.75" customHeight="1" x14ac:dyDescent="0.15">
      <c r="B2" s="5" t="s">
        <v>101</v>
      </c>
    </row>
    <row r="3" spans="2:4" ht="15.75" customHeight="1" x14ac:dyDescent="0.15">
      <c r="B3" s="4" t="s">
        <v>102</v>
      </c>
    </row>
    <row r="4" spans="2:4" ht="15.75" customHeight="1" x14ac:dyDescent="0.15"/>
    <row r="5" spans="2:4" ht="15.75" customHeight="1" x14ac:dyDescent="0.15">
      <c r="B5" s="5" t="s">
        <v>91</v>
      </c>
    </row>
    <row r="6" spans="2:4" ht="15.75" customHeight="1" x14ac:dyDescent="0.15">
      <c r="B6" s="4" t="s">
        <v>92</v>
      </c>
      <c r="C6" s="6">
        <v>783</v>
      </c>
      <c r="D6" s="30"/>
    </row>
    <row r="7" spans="2:4" ht="15.75" customHeight="1" x14ac:dyDescent="0.15">
      <c r="B7" s="4" t="s">
        <v>93</v>
      </c>
      <c r="C7" s="6">
        <v>20572</v>
      </c>
      <c r="D7" s="7"/>
    </row>
    <row r="8" spans="2:4" ht="15.75" customHeight="1" x14ac:dyDescent="0.15">
      <c r="B8" s="4" t="s">
        <v>0</v>
      </c>
      <c r="C8" s="6">
        <v>12943</v>
      </c>
    </row>
    <row r="9" spans="2:4" ht="15.75" customHeight="1" x14ac:dyDescent="0.15">
      <c r="B9" s="4" t="s">
        <v>52</v>
      </c>
      <c r="C9" s="8" t="s">
        <v>53</v>
      </c>
    </row>
    <row r="10" spans="2:4" ht="15.75" customHeight="1" x14ac:dyDescent="0.15">
      <c r="B10" s="4" t="s">
        <v>156</v>
      </c>
      <c r="C10" s="4" t="s">
        <v>159</v>
      </c>
      <c r="D10" s="9"/>
    </row>
    <row r="11" spans="2:4" ht="15.75" customHeight="1" x14ac:dyDescent="0.15">
      <c r="B11" s="4" t="s">
        <v>157</v>
      </c>
      <c r="C11" s="4" t="s">
        <v>160</v>
      </c>
      <c r="D11" s="9"/>
    </row>
    <row r="12" spans="2:4" ht="15.75" customHeight="1" x14ac:dyDescent="0.15">
      <c r="B12" s="4" t="s">
        <v>158</v>
      </c>
      <c r="C12" s="4" t="s">
        <v>161</v>
      </c>
      <c r="D12" s="9"/>
    </row>
    <row r="13" spans="2:4" ht="15.75" customHeight="1" x14ac:dyDescent="0.15">
      <c r="D13" s="9"/>
    </row>
    <row r="14" spans="2:4" ht="15.75" customHeight="1" x14ac:dyDescent="0.15">
      <c r="B14" s="4" t="s">
        <v>94</v>
      </c>
      <c r="D14" s="9"/>
    </row>
    <row r="15" spans="2:4" ht="15.75" customHeight="1" x14ac:dyDescent="0.15">
      <c r="B15" s="4" t="s">
        <v>100</v>
      </c>
      <c r="D15" s="9"/>
    </row>
    <row r="16" spans="2:4" ht="15.75" customHeight="1" x14ac:dyDescent="0.15">
      <c r="D16" s="9"/>
    </row>
    <row r="17" spans="2:9" ht="15.75" customHeight="1" x14ac:dyDescent="0.15">
      <c r="B17" s="39" t="s">
        <v>89</v>
      </c>
      <c r="C17" s="40"/>
    </row>
    <row r="18" spans="2:9" ht="15.75" customHeight="1" x14ac:dyDescent="0.15">
      <c r="B18" s="17" t="s">
        <v>27</v>
      </c>
      <c r="C18" s="27">
        <v>64</v>
      </c>
      <c r="D18" s="31" t="s">
        <v>140</v>
      </c>
    </row>
    <row r="19" spans="2:9" ht="15.75" customHeight="1" x14ac:dyDescent="0.15">
      <c r="B19" s="17" t="s">
        <v>28</v>
      </c>
      <c r="C19" s="27">
        <v>63</v>
      </c>
      <c r="D19" s="31" t="s">
        <v>33</v>
      </c>
    </row>
    <row r="20" spans="2:9" ht="15.75" customHeight="1" x14ac:dyDescent="0.15">
      <c r="B20" s="17" t="s">
        <v>29</v>
      </c>
      <c r="C20" s="27">
        <v>62</v>
      </c>
      <c r="D20" s="31" t="s">
        <v>95</v>
      </c>
    </row>
    <row r="21" spans="2:9" ht="15.75" customHeight="1" x14ac:dyDescent="0.15">
      <c r="B21" s="39" t="s">
        <v>90</v>
      </c>
      <c r="C21" s="40"/>
    </row>
    <row r="22" spans="2:9" ht="15.75" customHeight="1" x14ac:dyDescent="0.15">
      <c r="B22" s="17" t="s">
        <v>30</v>
      </c>
      <c r="C22" s="27">
        <v>10</v>
      </c>
      <c r="D22" s="31" t="s">
        <v>98</v>
      </c>
    </row>
    <row r="23" spans="2:9" ht="15.75" customHeight="1" x14ac:dyDescent="0.15">
      <c r="B23" s="17" t="s">
        <v>31</v>
      </c>
      <c r="C23" s="27">
        <v>10</v>
      </c>
      <c r="I23" s="4" t="s">
        <v>96</v>
      </c>
    </row>
    <row r="24" spans="2:9" ht="15.75" customHeight="1" x14ac:dyDescent="0.15">
      <c r="B24" s="17" t="s">
        <v>32</v>
      </c>
      <c r="C24" s="27">
        <v>10</v>
      </c>
      <c r="D24" s="31" t="s">
        <v>170</v>
      </c>
    </row>
    <row r="25" spans="2:9" ht="15.75" customHeight="1" x14ac:dyDescent="0.15">
      <c r="C25" s="6"/>
    </row>
    <row r="26" spans="2:9" ht="15.75" customHeight="1" x14ac:dyDescent="0.15">
      <c r="C26" s="10" t="s">
        <v>99</v>
      </c>
    </row>
    <row r="27" spans="2:9" ht="15.75" customHeight="1" x14ac:dyDescent="0.15">
      <c r="B27" s="4" t="s">
        <v>49</v>
      </c>
      <c r="C27" s="6">
        <f>SUM(C59:C61)</f>
        <v>2346742</v>
      </c>
      <c r="D27" s="6">
        <f>C27/3</f>
        <v>782247.33333333337</v>
      </c>
      <c r="E27" s="4" t="s">
        <v>51</v>
      </c>
    </row>
    <row r="28" spans="2:9" ht="15.75" customHeight="1" x14ac:dyDescent="0.15">
      <c r="B28" s="4" t="s">
        <v>50</v>
      </c>
      <c r="C28" s="6">
        <f>SUM(C68:C70)</f>
        <v>2820128</v>
      </c>
      <c r="D28" s="6">
        <f>C28/3</f>
        <v>940042.66666666663</v>
      </c>
      <c r="E28" s="4" t="s">
        <v>51</v>
      </c>
    </row>
    <row r="29" spans="2:9" ht="15.75" customHeight="1" x14ac:dyDescent="0.15">
      <c r="B29" s="4" t="s">
        <v>48</v>
      </c>
      <c r="C29" s="6">
        <f>C76-SUM(C27:C28)</f>
        <v>5143193</v>
      </c>
      <c r="D29" s="6">
        <f>C29/18</f>
        <v>285732.94444444444</v>
      </c>
      <c r="E29" s="4" t="s">
        <v>51</v>
      </c>
    </row>
    <row r="30" spans="2:9" ht="15.75" customHeight="1" x14ac:dyDescent="0.15"/>
    <row r="31" spans="2:9" ht="15.75" customHeight="1" x14ac:dyDescent="0.15"/>
    <row r="32" spans="2:9" ht="15.75" customHeight="1" x14ac:dyDescent="0.15"/>
    <row r="33" spans="5:5" ht="15.75" customHeight="1" x14ac:dyDescent="0.15"/>
    <row r="34" spans="5:5" ht="15.75" customHeight="1" x14ac:dyDescent="0.15"/>
    <row r="35" spans="5:5" ht="15.75" customHeight="1" x14ac:dyDescent="0.15">
      <c r="E35" s="4" t="s">
        <v>138</v>
      </c>
    </row>
    <row r="36" spans="5:5" ht="15.75" customHeight="1" x14ac:dyDescent="0.15">
      <c r="E36" s="4" t="s">
        <v>141</v>
      </c>
    </row>
    <row r="37" spans="5:5" ht="15.75" customHeight="1" x14ac:dyDescent="0.15">
      <c r="E37" s="4" t="s">
        <v>142</v>
      </c>
    </row>
    <row r="38" spans="5:5" ht="15.75" customHeight="1" x14ac:dyDescent="0.15">
      <c r="E38" s="4" t="s">
        <v>139</v>
      </c>
    </row>
    <row r="39" spans="5:5" ht="15.75" customHeight="1" x14ac:dyDescent="0.15">
      <c r="E39" s="4" t="s">
        <v>143</v>
      </c>
    </row>
    <row r="40" spans="5:5" ht="15.75" customHeight="1" x14ac:dyDescent="0.15">
      <c r="E40" s="4" t="s">
        <v>144</v>
      </c>
    </row>
    <row r="41" spans="5:5" ht="15.75" customHeight="1" x14ac:dyDescent="0.15">
      <c r="E41" s="4" t="s">
        <v>145</v>
      </c>
    </row>
    <row r="42" spans="5:5" ht="15.75" customHeight="1" x14ac:dyDescent="0.15"/>
    <row r="43" spans="5:5" ht="15.75" customHeight="1" x14ac:dyDescent="0.15"/>
    <row r="44" spans="5:5" ht="15.75" customHeight="1" x14ac:dyDescent="0.15"/>
    <row r="45" spans="5:5" ht="15.75" customHeight="1" x14ac:dyDescent="0.15"/>
    <row r="46" spans="5:5" ht="15.75" customHeight="1" x14ac:dyDescent="0.15"/>
    <row r="47" spans="5:5" ht="15.75" customHeight="1" x14ac:dyDescent="0.15"/>
    <row r="48" spans="5:5" ht="15.75" customHeight="1" x14ac:dyDescent="0.15"/>
    <row r="49" spans="2:3" ht="15.75" customHeight="1" x14ac:dyDescent="0.15"/>
    <row r="50" spans="2:3" ht="15.75" customHeight="1" x14ac:dyDescent="0.15"/>
    <row r="51" spans="2:3" ht="15.75" customHeight="1" x14ac:dyDescent="0.15">
      <c r="B51" s="10" t="s">
        <v>24</v>
      </c>
      <c r="C51" s="14" t="s">
        <v>99</v>
      </c>
    </row>
    <row r="52" spans="2:3" ht="15.75" customHeight="1" x14ac:dyDescent="0.15">
      <c r="B52" s="4" t="s">
        <v>1</v>
      </c>
      <c r="C52" s="13">
        <v>89855</v>
      </c>
    </row>
    <row r="53" spans="2:3" ht="15.75" customHeight="1" x14ac:dyDescent="0.15">
      <c r="B53" s="4" t="s">
        <v>2</v>
      </c>
      <c r="C53" s="13">
        <v>56870</v>
      </c>
    </row>
    <row r="54" spans="2:3" ht="15.75" customHeight="1" x14ac:dyDescent="0.15">
      <c r="B54" s="4" t="s">
        <v>3</v>
      </c>
      <c r="C54" s="13">
        <v>35995</v>
      </c>
    </row>
    <row r="55" spans="2:3" ht="15.75" customHeight="1" x14ac:dyDescent="0.15">
      <c r="B55" s="4" t="s">
        <v>4</v>
      </c>
      <c r="C55" s="13">
        <v>25724</v>
      </c>
    </row>
    <row r="56" spans="2:3" ht="15.75" customHeight="1" x14ac:dyDescent="0.15">
      <c r="B56" s="4" t="s">
        <v>5</v>
      </c>
      <c r="C56" s="13">
        <v>23889</v>
      </c>
    </row>
    <row r="57" spans="2:3" ht="15.75" customHeight="1" x14ac:dyDescent="0.15">
      <c r="B57" s="4" t="s">
        <v>6</v>
      </c>
      <c r="C57" s="13">
        <v>41922</v>
      </c>
    </row>
    <row r="58" spans="2:3" ht="15.75" customHeight="1" x14ac:dyDescent="0.15">
      <c r="B58" s="4" t="s">
        <v>7</v>
      </c>
      <c r="C58" s="13">
        <v>193766</v>
      </c>
    </row>
    <row r="59" spans="2:3" ht="15.75" customHeight="1" x14ac:dyDescent="0.15">
      <c r="B59" s="4" t="s">
        <v>8</v>
      </c>
      <c r="C59" s="13">
        <v>572257</v>
      </c>
    </row>
    <row r="60" spans="2:3" ht="15.75" customHeight="1" x14ac:dyDescent="0.15">
      <c r="B60" s="4" t="s">
        <v>9</v>
      </c>
      <c r="C60" s="13">
        <v>1120184</v>
      </c>
    </row>
    <row r="61" spans="2:3" ht="15.75" customHeight="1" x14ac:dyDescent="0.15">
      <c r="B61" s="4" t="s">
        <v>10</v>
      </c>
      <c r="C61" s="13">
        <v>654301</v>
      </c>
    </row>
    <row r="62" spans="2:3" ht="15.75" customHeight="1" x14ac:dyDescent="0.15">
      <c r="B62" s="4" t="s">
        <v>11</v>
      </c>
      <c r="C62" s="13">
        <v>411298</v>
      </c>
    </row>
    <row r="63" spans="2:3" ht="15.75" customHeight="1" x14ac:dyDescent="0.15">
      <c r="B63" s="4" t="s">
        <v>12</v>
      </c>
      <c r="C63" s="13">
        <v>441044</v>
      </c>
    </row>
    <row r="64" spans="2:3" ht="15.75" customHeight="1" x14ac:dyDescent="0.15">
      <c r="B64" s="4" t="s">
        <v>13</v>
      </c>
      <c r="C64" s="13">
        <v>540088</v>
      </c>
    </row>
    <row r="65" spans="2:3" ht="15.75" customHeight="1" x14ac:dyDescent="0.15">
      <c r="B65" s="4" t="s">
        <v>14</v>
      </c>
      <c r="C65" s="13">
        <v>555919</v>
      </c>
    </row>
    <row r="66" spans="2:3" ht="15.75" customHeight="1" x14ac:dyDescent="0.15">
      <c r="B66" s="4" t="s">
        <v>15</v>
      </c>
      <c r="C66" s="13">
        <v>538990</v>
      </c>
    </row>
    <row r="67" spans="2:3" ht="15.75" customHeight="1" x14ac:dyDescent="0.15">
      <c r="B67" s="4" t="s">
        <v>16</v>
      </c>
      <c r="C67" s="13">
        <v>570771</v>
      </c>
    </row>
    <row r="68" spans="2:3" ht="15.75" customHeight="1" x14ac:dyDescent="0.15">
      <c r="B68" s="4" t="s">
        <v>17</v>
      </c>
      <c r="C68" s="13">
        <v>713423</v>
      </c>
    </row>
    <row r="69" spans="2:3" ht="15.75" customHeight="1" x14ac:dyDescent="0.15">
      <c r="B69" s="4" t="s">
        <v>18</v>
      </c>
      <c r="C69" s="13">
        <v>1109580</v>
      </c>
    </row>
    <row r="70" spans="2:3" ht="15.75" customHeight="1" x14ac:dyDescent="0.15">
      <c r="B70" s="4" t="s">
        <v>19</v>
      </c>
      <c r="C70" s="13">
        <v>997125</v>
      </c>
    </row>
    <row r="71" spans="2:3" ht="15.75" customHeight="1" x14ac:dyDescent="0.15">
      <c r="B71" s="4" t="s">
        <v>20</v>
      </c>
      <c r="C71" s="13">
        <v>603232</v>
      </c>
    </row>
    <row r="72" spans="2:3" ht="15.75" customHeight="1" x14ac:dyDescent="0.15">
      <c r="B72" s="4" t="s">
        <v>21</v>
      </c>
      <c r="C72" s="13">
        <v>388467</v>
      </c>
    </row>
    <row r="73" spans="2:3" ht="15.75" customHeight="1" x14ac:dyDescent="0.15">
      <c r="B73" s="4" t="s">
        <v>22</v>
      </c>
      <c r="C73" s="13">
        <v>271768</v>
      </c>
    </row>
    <row r="74" spans="2:3" ht="15.75" customHeight="1" x14ac:dyDescent="0.15">
      <c r="B74" s="4" t="s">
        <v>23</v>
      </c>
      <c r="C74" s="13">
        <v>211682</v>
      </c>
    </row>
    <row r="75" spans="2:3" ht="15.75" customHeight="1" x14ac:dyDescent="0.15">
      <c r="B75" s="4" t="s">
        <v>26</v>
      </c>
      <c r="C75" s="13">
        <v>141913</v>
      </c>
    </row>
    <row r="76" spans="2:3" ht="15.75" customHeight="1" thickBot="1" x14ac:dyDescent="0.2">
      <c r="C76" s="32">
        <f>SUM(C52:C75)</f>
        <v>10310063</v>
      </c>
    </row>
    <row r="77" spans="2:3" ht="15.75" customHeight="1" thickTop="1" x14ac:dyDescent="0.15"/>
    <row r="78" spans="2:3" ht="15.75" customHeight="1" x14ac:dyDescent="0.15">
      <c r="B78" s="4" t="s">
        <v>150</v>
      </c>
    </row>
    <row r="79" spans="2:3" ht="15.75" customHeight="1" x14ac:dyDescent="0.15">
      <c r="B79" s="4" t="s">
        <v>162</v>
      </c>
      <c r="C79" s="4" t="s">
        <v>165</v>
      </c>
    </row>
    <row r="80" spans="2:3" ht="15.75" customHeight="1" x14ac:dyDescent="0.15">
      <c r="B80" s="4" t="s">
        <v>163</v>
      </c>
      <c r="C80" s="4" t="s">
        <v>166</v>
      </c>
    </row>
    <row r="81" spans="2:11" ht="15.75" customHeight="1" x14ac:dyDescent="0.15">
      <c r="B81" s="4" t="s">
        <v>164</v>
      </c>
      <c r="C81" s="4" t="s">
        <v>167</v>
      </c>
    </row>
    <row r="82" spans="2:11" ht="15.75" customHeight="1" x14ac:dyDescent="0.15"/>
    <row r="83" spans="2:11" ht="15.75" customHeight="1" x14ac:dyDescent="0.15"/>
    <row r="84" spans="2:11" ht="15.75" customHeight="1" x14ac:dyDescent="0.15">
      <c r="B84" s="5" t="s">
        <v>82</v>
      </c>
      <c r="J84" s="29"/>
      <c r="K84" s="29"/>
    </row>
    <row r="85" spans="2:11" ht="15.75" customHeight="1" x14ac:dyDescent="0.15">
      <c r="B85" s="5"/>
      <c r="J85" s="29"/>
      <c r="K85" s="29"/>
    </row>
    <row r="86" spans="2:11" ht="15.75" customHeight="1" x14ac:dyDescent="0.15">
      <c r="B86" s="19"/>
      <c r="C86" s="41">
        <v>2019</v>
      </c>
      <c r="D86" s="41"/>
      <c r="F86" s="29"/>
      <c r="G86" s="29"/>
    </row>
    <row r="87" spans="2:11" ht="15.75" customHeight="1" x14ac:dyDescent="0.15">
      <c r="B87" s="20"/>
      <c r="C87" s="16" t="s">
        <v>72</v>
      </c>
      <c r="D87" s="16" t="s">
        <v>73</v>
      </c>
      <c r="F87" s="29"/>
      <c r="G87" s="29"/>
    </row>
    <row r="88" spans="2:11" ht="15.75" customHeight="1" x14ac:dyDescent="0.15">
      <c r="B88" s="42" t="s">
        <v>8</v>
      </c>
      <c r="C88" s="21" t="s">
        <v>35</v>
      </c>
      <c r="D88" s="22">
        <v>54643</v>
      </c>
      <c r="F88" s="29"/>
      <c r="G88" s="29"/>
    </row>
    <row r="89" spans="2:11" ht="15.75" customHeight="1" x14ac:dyDescent="0.15">
      <c r="B89" s="43"/>
      <c r="C89" s="21" t="s">
        <v>34</v>
      </c>
      <c r="D89" s="22">
        <v>45858</v>
      </c>
      <c r="E89" s="9"/>
      <c r="F89" s="29"/>
      <c r="G89" s="29"/>
    </row>
    <row r="90" spans="2:11" ht="15.75" customHeight="1" x14ac:dyDescent="0.15">
      <c r="B90" s="43"/>
      <c r="C90" s="21" t="s">
        <v>37</v>
      </c>
      <c r="D90" s="22">
        <v>32047</v>
      </c>
      <c r="F90" s="29"/>
      <c r="G90" s="29"/>
    </row>
    <row r="91" spans="2:11" ht="15.75" customHeight="1" x14ac:dyDescent="0.15">
      <c r="B91" s="43"/>
      <c r="C91" s="21" t="s">
        <v>70</v>
      </c>
      <c r="D91" s="22">
        <v>19604</v>
      </c>
      <c r="F91" s="29"/>
      <c r="G91" s="29"/>
    </row>
    <row r="92" spans="2:11" ht="15.75" customHeight="1" x14ac:dyDescent="0.15">
      <c r="B92" s="44"/>
      <c r="C92" s="21" t="s">
        <v>71</v>
      </c>
      <c r="D92" s="22">
        <v>10393</v>
      </c>
      <c r="F92" s="29"/>
      <c r="G92" s="29"/>
    </row>
    <row r="93" spans="2:11" ht="15.75" customHeight="1" x14ac:dyDescent="0.15">
      <c r="B93" s="36" t="s">
        <v>9</v>
      </c>
      <c r="C93" s="17" t="s">
        <v>34</v>
      </c>
      <c r="D93" s="18">
        <v>42143</v>
      </c>
      <c r="F93" s="29"/>
      <c r="G93" s="29"/>
    </row>
    <row r="94" spans="2:11" ht="15.75" customHeight="1" x14ac:dyDescent="0.15">
      <c r="B94" s="37"/>
      <c r="C94" s="17" t="s">
        <v>35</v>
      </c>
      <c r="D94" s="18">
        <v>38475</v>
      </c>
      <c r="F94" s="29"/>
      <c r="G94" s="29"/>
    </row>
    <row r="95" spans="2:11" ht="15.75" customHeight="1" x14ac:dyDescent="0.15">
      <c r="B95" s="37"/>
      <c r="C95" s="17" t="s">
        <v>37</v>
      </c>
      <c r="D95" s="18">
        <v>36559</v>
      </c>
      <c r="F95" s="29"/>
      <c r="G95" s="29"/>
    </row>
    <row r="96" spans="2:11" ht="15.75" customHeight="1" x14ac:dyDescent="0.15">
      <c r="B96" s="37"/>
      <c r="C96" s="17" t="s">
        <v>70</v>
      </c>
      <c r="D96" s="18">
        <v>16877</v>
      </c>
      <c r="F96" s="29"/>
      <c r="G96" s="29"/>
    </row>
    <row r="97" spans="2:7" ht="15.75" customHeight="1" x14ac:dyDescent="0.15">
      <c r="B97" s="38"/>
      <c r="C97" s="17" t="s">
        <v>42</v>
      </c>
      <c r="D97" s="18">
        <v>10957</v>
      </c>
      <c r="F97" s="29"/>
      <c r="G97" s="29"/>
    </row>
    <row r="98" spans="2:7" ht="15.75" customHeight="1" x14ac:dyDescent="0.15">
      <c r="B98" s="42" t="s">
        <v>10</v>
      </c>
      <c r="C98" s="21" t="s">
        <v>37</v>
      </c>
      <c r="D98" s="22">
        <v>17504</v>
      </c>
      <c r="F98" s="29"/>
      <c r="G98" s="29"/>
    </row>
    <row r="99" spans="2:7" ht="15.75" customHeight="1" x14ac:dyDescent="0.15">
      <c r="B99" s="43"/>
      <c r="C99" s="21" t="s">
        <v>34</v>
      </c>
      <c r="D99" s="22">
        <v>14311</v>
      </c>
      <c r="F99" s="29"/>
      <c r="G99" s="29"/>
    </row>
    <row r="100" spans="2:7" ht="15.75" customHeight="1" x14ac:dyDescent="0.15">
      <c r="B100" s="43"/>
      <c r="C100" s="21" t="s">
        <v>70</v>
      </c>
      <c r="D100" s="22">
        <v>8623</v>
      </c>
      <c r="F100" s="29"/>
      <c r="G100" s="29"/>
    </row>
    <row r="101" spans="2:7" ht="15.75" customHeight="1" x14ac:dyDescent="0.15">
      <c r="B101" s="43"/>
      <c r="C101" s="21" t="s">
        <v>35</v>
      </c>
      <c r="D101" s="22">
        <v>6048</v>
      </c>
      <c r="F101" s="29"/>
      <c r="G101" s="29"/>
    </row>
    <row r="102" spans="2:7" ht="15.75" customHeight="1" x14ac:dyDescent="0.15">
      <c r="B102" s="44"/>
      <c r="C102" s="21" t="s">
        <v>42</v>
      </c>
      <c r="D102" s="22">
        <v>5640</v>
      </c>
      <c r="F102" s="29"/>
      <c r="G102" s="29"/>
    </row>
    <row r="103" spans="2:7" ht="15.75" customHeight="1" x14ac:dyDescent="0.15">
      <c r="B103" s="36" t="s">
        <v>17</v>
      </c>
      <c r="C103" s="17" t="s">
        <v>36</v>
      </c>
      <c r="D103" s="23">
        <v>14234</v>
      </c>
      <c r="F103" s="29"/>
      <c r="G103" s="29"/>
    </row>
    <row r="104" spans="2:7" ht="15.75" customHeight="1" x14ac:dyDescent="0.15">
      <c r="B104" s="37"/>
      <c r="C104" s="17" t="s">
        <v>45</v>
      </c>
      <c r="D104" s="23">
        <v>13156</v>
      </c>
    </row>
    <row r="105" spans="2:7" ht="15.75" customHeight="1" x14ac:dyDescent="0.15">
      <c r="B105" s="37"/>
      <c r="C105" s="17" t="s">
        <v>74</v>
      </c>
      <c r="D105" s="23">
        <v>12421</v>
      </c>
    </row>
    <row r="106" spans="2:7" ht="15.75" customHeight="1" x14ac:dyDescent="0.15">
      <c r="B106" s="37"/>
      <c r="C106" s="17" t="s">
        <v>76</v>
      </c>
      <c r="D106" s="23">
        <v>11627</v>
      </c>
    </row>
    <row r="107" spans="2:7" ht="15.75" customHeight="1" x14ac:dyDescent="0.15">
      <c r="B107" s="38"/>
      <c r="C107" s="17" t="s">
        <v>46</v>
      </c>
      <c r="D107" s="23">
        <v>11311</v>
      </c>
    </row>
    <row r="108" spans="2:7" ht="15.75" customHeight="1" x14ac:dyDescent="0.15">
      <c r="B108" s="42" t="s">
        <v>18</v>
      </c>
      <c r="C108" s="21" t="s">
        <v>45</v>
      </c>
      <c r="D108" s="22">
        <v>18810</v>
      </c>
    </row>
    <row r="109" spans="2:7" ht="15.75" customHeight="1" x14ac:dyDescent="0.15">
      <c r="B109" s="43"/>
      <c r="C109" s="21" t="s">
        <v>46</v>
      </c>
      <c r="D109" s="22">
        <v>14640</v>
      </c>
    </row>
    <row r="110" spans="2:7" ht="15.75" customHeight="1" x14ac:dyDescent="0.15">
      <c r="B110" s="43"/>
      <c r="C110" s="21" t="s">
        <v>36</v>
      </c>
      <c r="D110" s="22">
        <v>13947</v>
      </c>
    </row>
    <row r="111" spans="2:7" ht="15.75" customHeight="1" x14ac:dyDescent="0.15">
      <c r="B111" s="43"/>
      <c r="C111" s="21" t="s">
        <v>74</v>
      </c>
      <c r="D111" s="22">
        <v>13809</v>
      </c>
    </row>
    <row r="112" spans="2:7" ht="15.75" customHeight="1" x14ac:dyDescent="0.15">
      <c r="B112" s="44"/>
      <c r="C112" s="21" t="s">
        <v>76</v>
      </c>
      <c r="D112" s="22">
        <v>13357</v>
      </c>
    </row>
    <row r="113" spans="2:9" ht="15.75" customHeight="1" x14ac:dyDescent="0.15">
      <c r="B113" s="36" t="s">
        <v>19</v>
      </c>
      <c r="C113" s="17" t="s">
        <v>45</v>
      </c>
      <c r="D113" s="23">
        <v>11506</v>
      </c>
    </row>
    <row r="114" spans="2:9" ht="15.75" customHeight="1" x14ac:dyDescent="0.15">
      <c r="B114" s="37"/>
      <c r="C114" s="17" t="s">
        <v>36</v>
      </c>
      <c r="D114" s="23">
        <v>11261</v>
      </c>
    </row>
    <row r="115" spans="2:9" ht="15.75" customHeight="1" x14ac:dyDescent="0.15">
      <c r="B115" s="37"/>
      <c r="C115" s="17" t="s">
        <v>77</v>
      </c>
      <c r="D115" s="23">
        <v>9936</v>
      </c>
    </row>
    <row r="116" spans="2:9" ht="15.75" customHeight="1" x14ac:dyDescent="0.15">
      <c r="B116" s="37"/>
      <c r="C116" s="17" t="s">
        <v>46</v>
      </c>
      <c r="D116" s="23">
        <v>9807</v>
      </c>
    </row>
    <row r="117" spans="2:9" ht="15.75" customHeight="1" x14ac:dyDescent="0.15">
      <c r="B117" s="38"/>
      <c r="C117" s="17" t="s">
        <v>38</v>
      </c>
      <c r="D117" s="23">
        <v>8382</v>
      </c>
    </row>
    <row r="118" spans="2:9" ht="15.75" customHeight="1" x14ac:dyDescent="0.15">
      <c r="B118" s="4" t="s">
        <v>148</v>
      </c>
      <c r="D118" s="6">
        <f>SUM(D88:D102)</f>
        <v>359682</v>
      </c>
      <c r="F118" s="6"/>
      <c r="I118" s="6"/>
    </row>
    <row r="119" spans="2:9" ht="15.75" customHeight="1" x14ac:dyDescent="0.15">
      <c r="B119" s="4" t="s">
        <v>149</v>
      </c>
      <c r="D119" s="6">
        <f>SUM(D103:D117)</f>
        <v>188204</v>
      </c>
      <c r="F119" s="6"/>
      <c r="I119" s="6"/>
    </row>
    <row r="120" spans="2:9" ht="15.75" customHeight="1" x14ac:dyDescent="0.15"/>
    <row r="121" spans="2:9" ht="15.75" customHeight="1" x14ac:dyDescent="0.15">
      <c r="B121" s="5" t="s">
        <v>151</v>
      </c>
    </row>
    <row r="122" spans="2:9" ht="15.75" customHeight="1" x14ac:dyDescent="0.15">
      <c r="B122" s="4" t="s">
        <v>78</v>
      </c>
      <c r="C122" s="4" t="s">
        <v>34</v>
      </c>
      <c r="D122" s="28">
        <f t="shared" ref="D122:D127" ca="1" si="0">SUMIF($C$88:$D$102,$C122,$D$88:$D$102)/$D$118</f>
        <v>0.28445126528433451</v>
      </c>
    </row>
    <row r="123" spans="2:9" ht="15.75" customHeight="1" x14ac:dyDescent="0.15">
      <c r="C123" s="4" t="s">
        <v>35</v>
      </c>
      <c r="D123" s="28">
        <f t="shared" ca="1" si="0"/>
        <v>0.27570465021880441</v>
      </c>
    </row>
    <row r="124" spans="2:9" ht="15.75" customHeight="1" x14ac:dyDescent="0.15">
      <c r="C124" s="4" t="s">
        <v>37</v>
      </c>
      <c r="D124" s="28">
        <f t="shared" ca="1" si="0"/>
        <v>0.23940591967348937</v>
      </c>
    </row>
    <row r="125" spans="2:9" ht="15.75" customHeight="1" x14ac:dyDescent="0.15">
      <c r="C125" s="4" t="s">
        <v>70</v>
      </c>
      <c r="D125" s="28">
        <f t="shared" ca="1" si="0"/>
        <v>0.12539965858730767</v>
      </c>
    </row>
    <row r="126" spans="2:9" ht="15.75" customHeight="1" x14ac:dyDescent="0.15">
      <c r="C126" s="4" t="s">
        <v>42</v>
      </c>
      <c r="D126" s="28">
        <f t="shared" ca="1" si="0"/>
        <v>4.6143537902925365E-2</v>
      </c>
    </row>
    <row r="127" spans="2:9" ht="15.75" customHeight="1" x14ac:dyDescent="0.15">
      <c r="C127" s="4" t="s">
        <v>71</v>
      </c>
      <c r="D127" s="28">
        <f t="shared" ca="1" si="0"/>
        <v>2.8894968333138718E-2</v>
      </c>
    </row>
    <row r="128" spans="2:9" ht="15.75" customHeight="1" x14ac:dyDescent="0.15">
      <c r="B128" s="4" t="s">
        <v>79</v>
      </c>
      <c r="C128" s="4" t="s">
        <v>45</v>
      </c>
      <c r="D128" s="28">
        <f t="shared" ref="D128:D134" ca="1" si="1">SUMIF($C$103:$D$117,$C128,$D$103:$D$117)/$D$119</f>
        <v>0.23098340099041464</v>
      </c>
    </row>
    <row r="129" spans="2:4" ht="15.75" customHeight="1" x14ac:dyDescent="0.15">
      <c r="C129" s="4" t="s">
        <v>36</v>
      </c>
      <c r="D129" s="28">
        <f t="shared" ca="1" si="1"/>
        <v>0.20957046608998747</v>
      </c>
    </row>
    <row r="130" spans="2:4" ht="15.75" customHeight="1" x14ac:dyDescent="0.15">
      <c r="C130" s="4" t="s">
        <v>46</v>
      </c>
      <c r="D130" s="28">
        <f t="shared" ca="1" si="1"/>
        <v>0.18999596182865403</v>
      </c>
    </row>
    <row r="131" spans="2:4" ht="15.75" customHeight="1" x14ac:dyDescent="0.15">
      <c r="C131" s="4" t="s">
        <v>74</v>
      </c>
      <c r="D131" s="28">
        <f t="shared" ca="1" si="1"/>
        <v>0.13937004527002614</v>
      </c>
    </row>
    <row r="132" spans="2:4" ht="15.75" customHeight="1" x14ac:dyDescent="0.15">
      <c r="C132" s="4" t="s">
        <v>76</v>
      </c>
      <c r="D132" s="28">
        <f t="shared" ca="1" si="1"/>
        <v>0.13274956961594866</v>
      </c>
    </row>
    <row r="133" spans="2:4" ht="15.75" customHeight="1" x14ac:dyDescent="0.15">
      <c r="C133" s="4" t="s">
        <v>77</v>
      </c>
      <c r="D133" s="28">
        <f t="shared" ca="1" si="1"/>
        <v>5.2793776965420501E-2</v>
      </c>
    </row>
    <row r="134" spans="2:4" ht="15.75" customHeight="1" x14ac:dyDescent="0.15">
      <c r="C134" s="4" t="s">
        <v>38</v>
      </c>
      <c r="D134" s="28">
        <f t="shared" ca="1" si="1"/>
        <v>4.4536779239548574E-2</v>
      </c>
    </row>
    <row r="135" spans="2:4" ht="15.75" customHeight="1" x14ac:dyDescent="0.15"/>
    <row r="136" spans="2:4" ht="15.75" customHeight="1" x14ac:dyDescent="0.15">
      <c r="B136" s="5" t="s">
        <v>83</v>
      </c>
    </row>
    <row r="137" spans="2:4" ht="15.75" customHeight="1" x14ac:dyDescent="0.15"/>
    <row r="138" spans="2:4" ht="15.75" customHeight="1" x14ac:dyDescent="0.15">
      <c r="B138" s="19"/>
      <c r="C138" s="41">
        <v>2019</v>
      </c>
      <c r="D138" s="41"/>
    </row>
    <row r="139" spans="2:4" ht="15.75" customHeight="1" x14ac:dyDescent="0.15">
      <c r="B139" s="20"/>
      <c r="C139" s="16" t="s">
        <v>72</v>
      </c>
      <c r="D139" s="16" t="s">
        <v>73</v>
      </c>
    </row>
    <row r="140" spans="2:4" ht="15.75" customHeight="1" x14ac:dyDescent="0.15">
      <c r="B140" s="42" t="s">
        <v>8</v>
      </c>
      <c r="C140" s="21" t="s">
        <v>35</v>
      </c>
      <c r="D140" s="22">
        <v>51388</v>
      </c>
    </row>
    <row r="141" spans="2:4" ht="15.75" customHeight="1" x14ac:dyDescent="0.15">
      <c r="B141" s="43"/>
      <c r="C141" s="21" t="s">
        <v>34</v>
      </c>
      <c r="D141" s="22">
        <v>41046</v>
      </c>
    </row>
    <row r="142" spans="2:4" ht="15.75" customHeight="1" x14ac:dyDescent="0.15">
      <c r="B142" s="43"/>
      <c r="C142" s="21" t="s">
        <v>37</v>
      </c>
      <c r="D142" s="22">
        <v>27640</v>
      </c>
    </row>
    <row r="143" spans="2:4" ht="15.75" customHeight="1" x14ac:dyDescent="0.15">
      <c r="B143" s="43"/>
      <c r="C143" s="21" t="s">
        <v>70</v>
      </c>
      <c r="D143" s="22">
        <v>19105</v>
      </c>
    </row>
    <row r="144" spans="2:4" ht="15.75" customHeight="1" x14ac:dyDescent="0.15">
      <c r="B144" s="44"/>
      <c r="C144" s="21" t="s">
        <v>71</v>
      </c>
      <c r="D144" s="22">
        <v>9337</v>
      </c>
    </row>
    <row r="145" spans="2:4" ht="15.75" customHeight="1" x14ac:dyDescent="0.15">
      <c r="B145" s="36" t="s">
        <v>9</v>
      </c>
      <c r="C145" s="17" t="s">
        <v>35</v>
      </c>
      <c r="D145" s="18">
        <v>47383</v>
      </c>
    </row>
    <row r="146" spans="2:4" ht="15.75" customHeight="1" x14ac:dyDescent="0.15">
      <c r="B146" s="37"/>
      <c r="C146" s="17" t="s">
        <v>34</v>
      </c>
      <c r="D146" s="18">
        <v>46175</v>
      </c>
    </row>
    <row r="147" spans="2:4" ht="15.75" customHeight="1" x14ac:dyDescent="0.15">
      <c r="B147" s="37"/>
      <c r="C147" s="17" t="s">
        <v>37</v>
      </c>
      <c r="D147" s="18">
        <v>37592</v>
      </c>
    </row>
    <row r="148" spans="2:4" ht="15.75" customHeight="1" x14ac:dyDescent="0.15">
      <c r="B148" s="37"/>
      <c r="C148" s="17" t="s">
        <v>70</v>
      </c>
      <c r="D148" s="18">
        <v>17498</v>
      </c>
    </row>
    <row r="149" spans="2:4" ht="15.75" customHeight="1" x14ac:dyDescent="0.15">
      <c r="B149" s="38"/>
      <c r="C149" s="17" t="s">
        <v>42</v>
      </c>
      <c r="D149" s="18">
        <v>11462</v>
      </c>
    </row>
    <row r="150" spans="2:4" ht="15.75" customHeight="1" x14ac:dyDescent="0.15">
      <c r="B150" s="42" t="s">
        <v>10</v>
      </c>
      <c r="C150" s="21" t="s">
        <v>37</v>
      </c>
      <c r="D150" s="22">
        <v>21732</v>
      </c>
    </row>
    <row r="151" spans="2:4" ht="15.75" customHeight="1" x14ac:dyDescent="0.15">
      <c r="B151" s="43"/>
      <c r="C151" s="21" t="s">
        <v>34</v>
      </c>
      <c r="D151" s="22">
        <v>19501</v>
      </c>
    </row>
    <row r="152" spans="2:4" ht="15.75" customHeight="1" x14ac:dyDescent="0.15">
      <c r="B152" s="43"/>
      <c r="C152" s="21" t="s">
        <v>70</v>
      </c>
      <c r="D152" s="22">
        <v>10383</v>
      </c>
    </row>
    <row r="153" spans="2:4" ht="15.75" customHeight="1" x14ac:dyDescent="0.15">
      <c r="B153" s="43"/>
      <c r="C153" s="21" t="s">
        <v>35</v>
      </c>
      <c r="D153" s="22">
        <v>10220</v>
      </c>
    </row>
    <row r="154" spans="2:4" ht="15.75" customHeight="1" x14ac:dyDescent="0.15">
      <c r="B154" s="44"/>
      <c r="C154" s="21" t="s">
        <v>42</v>
      </c>
      <c r="D154" s="22">
        <v>6951</v>
      </c>
    </row>
    <row r="155" spans="2:4" ht="15.75" customHeight="1" x14ac:dyDescent="0.15">
      <c r="B155" s="36" t="s">
        <v>17</v>
      </c>
      <c r="C155" s="17" t="s">
        <v>36</v>
      </c>
      <c r="D155" s="23">
        <v>14811</v>
      </c>
    </row>
    <row r="156" spans="2:4" ht="15.75" customHeight="1" x14ac:dyDescent="0.15">
      <c r="B156" s="37"/>
      <c r="C156" s="17" t="s">
        <v>38</v>
      </c>
      <c r="D156" s="23">
        <v>11593</v>
      </c>
    </row>
    <row r="157" spans="2:4" ht="15.75" customHeight="1" x14ac:dyDescent="0.15">
      <c r="B157" s="37"/>
      <c r="C157" s="17" t="s">
        <v>39</v>
      </c>
      <c r="D157" s="23">
        <v>11016</v>
      </c>
    </row>
    <row r="158" spans="2:4" ht="15.75" customHeight="1" x14ac:dyDescent="0.15">
      <c r="B158" s="37"/>
      <c r="C158" s="17" t="s">
        <v>74</v>
      </c>
      <c r="D158" s="23">
        <v>10988</v>
      </c>
    </row>
    <row r="159" spans="2:4" ht="15.75" customHeight="1" x14ac:dyDescent="0.15">
      <c r="B159" s="38"/>
      <c r="C159" s="17" t="s">
        <v>80</v>
      </c>
      <c r="D159" s="23">
        <v>10663</v>
      </c>
    </row>
    <row r="160" spans="2:4" ht="15.75" customHeight="1" x14ac:dyDescent="0.15">
      <c r="B160" s="42" t="s">
        <v>18</v>
      </c>
      <c r="C160" s="21" t="s">
        <v>45</v>
      </c>
      <c r="D160" s="22">
        <v>18354</v>
      </c>
    </row>
    <row r="161" spans="2:5" ht="15.75" customHeight="1" x14ac:dyDescent="0.15">
      <c r="B161" s="43"/>
      <c r="C161" s="21" t="s">
        <v>36</v>
      </c>
      <c r="D161" s="22">
        <v>15200</v>
      </c>
    </row>
    <row r="162" spans="2:5" ht="15.75" customHeight="1" x14ac:dyDescent="0.15">
      <c r="B162" s="43"/>
      <c r="C162" s="21" t="s">
        <v>46</v>
      </c>
      <c r="D162" s="22">
        <v>14481</v>
      </c>
    </row>
    <row r="163" spans="2:5" ht="15.75" customHeight="1" x14ac:dyDescent="0.15">
      <c r="B163" s="43"/>
      <c r="C163" s="21" t="s">
        <v>74</v>
      </c>
      <c r="D163" s="22">
        <v>13864</v>
      </c>
    </row>
    <row r="164" spans="2:5" ht="15.75" customHeight="1" x14ac:dyDescent="0.15">
      <c r="B164" s="44"/>
      <c r="C164" s="21" t="s">
        <v>76</v>
      </c>
      <c r="D164" s="22">
        <v>13255</v>
      </c>
    </row>
    <row r="165" spans="2:5" ht="15.75" customHeight="1" x14ac:dyDescent="0.15">
      <c r="B165" s="36" t="s">
        <v>19</v>
      </c>
      <c r="C165" s="17" t="s">
        <v>45</v>
      </c>
      <c r="D165" s="23">
        <v>14254</v>
      </c>
    </row>
    <row r="166" spans="2:5" ht="15.75" customHeight="1" x14ac:dyDescent="0.15">
      <c r="B166" s="37"/>
      <c r="C166" s="17" t="s">
        <v>36</v>
      </c>
      <c r="D166" s="23">
        <v>13470</v>
      </c>
    </row>
    <row r="167" spans="2:5" ht="15.75" customHeight="1" x14ac:dyDescent="0.15">
      <c r="B167" s="37"/>
      <c r="C167" s="17" t="s">
        <v>46</v>
      </c>
      <c r="D167" s="23">
        <v>11306</v>
      </c>
    </row>
    <row r="168" spans="2:5" ht="15.75" customHeight="1" x14ac:dyDescent="0.15">
      <c r="B168" s="37"/>
      <c r="C168" s="17" t="s">
        <v>77</v>
      </c>
      <c r="D168" s="23">
        <v>10628</v>
      </c>
    </row>
    <row r="169" spans="2:5" ht="15.75" customHeight="1" x14ac:dyDescent="0.15">
      <c r="B169" s="38"/>
      <c r="C169" s="17" t="s">
        <v>38</v>
      </c>
      <c r="D169" s="23">
        <v>9805</v>
      </c>
    </row>
    <row r="170" spans="2:5" ht="15.75" customHeight="1" x14ac:dyDescent="0.15">
      <c r="B170" s="4" t="s">
        <v>148</v>
      </c>
      <c r="D170" s="6">
        <f>SUM(D140:D154)</f>
        <v>377413</v>
      </c>
      <c r="E170" s="6"/>
    </row>
    <row r="171" spans="2:5" ht="15.75" customHeight="1" x14ac:dyDescent="0.15">
      <c r="B171" s="4" t="s">
        <v>149</v>
      </c>
      <c r="D171" s="6">
        <f>SUM(D155:D169)</f>
        <v>193688</v>
      </c>
      <c r="E171" s="6"/>
    </row>
    <row r="172" spans="2:5" ht="15.75" customHeight="1" x14ac:dyDescent="0.15">
      <c r="D172" s="6"/>
    </row>
    <row r="173" spans="2:5" ht="15.75" customHeight="1" x14ac:dyDescent="0.15">
      <c r="B173" s="5" t="s">
        <v>151</v>
      </c>
    </row>
    <row r="174" spans="2:5" ht="15.75" customHeight="1" x14ac:dyDescent="0.15">
      <c r="B174" s="4" t="s">
        <v>78</v>
      </c>
      <c r="C174" s="4" t="s">
        <v>35</v>
      </c>
      <c r="D174" s="28">
        <f t="shared" ref="D174:D179" ca="1" si="2">SUMIF($C$140:$D$154,$C174,$D$140:$D$154)/$D$170</f>
        <v>0.2887844350883515</v>
      </c>
    </row>
    <row r="175" spans="2:5" ht="15.75" customHeight="1" x14ac:dyDescent="0.15">
      <c r="C175" s="4" t="s">
        <v>34</v>
      </c>
      <c r="D175" s="28">
        <f t="shared" ca="1" si="2"/>
        <v>0.2827724535190892</v>
      </c>
    </row>
    <row r="176" spans="2:5" ht="15.75" customHeight="1" x14ac:dyDescent="0.15">
      <c r="C176" s="4" t="s">
        <v>37</v>
      </c>
      <c r="D176" s="28">
        <f t="shared" ca="1" si="2"/>
        <v>0.23042131564095567</v>
      </c>
    </row>
    <row r="177" spans="2:4" ht="15.75" customHeight="1" x14ac:dyDescent="0.15">
      <c r="C177" s="4" t="s">
        <v>70</v>
      </c>
      <c r="D177" s="28">
        <f t="shared" ca="1" si="2"/>
        <v>0.12449491670928134</v>
      </c>
    </row>
    <row r="178" spans="2:4" ht="15.75" customHeight="1" x14ac:dyDescent="0.15">
      <c r="C178" s="4" t="s">
        <v>42</v>
      </c>
      <c r="D178" s="28">
        <f t="shared" ca="1" si="2"/>
        <v>4.8787402659685807E-2</v>
      </c>
    </row>
    <row r="179" spans="2:4" ht="15.75" customHeight="1" x14ac:dyDescent="0.15">
      <c r="C179" s="4" t="s">
        <v>71</v>
      </c>
      <c r="D179" s="28">
        <f t="shared" ca="1" si="2"/>
        <v>2.4739476382636526E-2</v>
      </c>
    </row>
    <row r="180" spans="2:4" ht="15.75" customHeight="1" x14ac:dyDescent="0.15">
      <c r="B180" s="4" t="s">
        <v>79</v>
      </c>
      <c r="C180" s="4" t="s">
        <v>36</v>
      </c>
      <c r="D180" s="28">
        <f t="shared" ref="D180:D188" ca="1" si="3">SUMIF($C$155:$D$169,$C180,$D$155:$D$169)/$D$171</f>
        <v>0.22448990128454008</v>
      </c>
    </row>
    <row r="181" spans="2:4" ht="15.75" customHeight="1" x14ac:dyDescent="0.15">
      <c r="C181" s="4" t="s">
        <v>45</v>
      </c>
      <c r="D181" s="28">
        <f t="shared" ca="1" si="3"/>
        <v>0.1683532278716286</v>
      </c>
    </row>
    <row r="182" spans="2:4" ht="15.75" customHeight="1" x14ac:dyDescent="0.15">
      <c r="C182" s="4" t="s">
        <v>46</v>
      </c>
      <c r="D182" s="28">
        <f t="shared" ca="1" si="3"/>
        <v>0.13313679732353062</v>
      </c>
    </row>
    <row r="183" spans="2:4" ht="15.75" customHeight="1" x14ac:dyDescent="0.15">
      <c r="C183" s="4" t="s">
        <v>74</v>
      </c>
      <c r="D183" s="28">
        <f t="shared" ca="1" si="3"/>
        <v>0.12830944611953243</v>
      </c>
    </row>
    <row r="184" spans="2:4" ht="15.75" customHeight="1" x14ac:dyDescent="0.15">
      <c r="C184" s="4" t="s">
        <v>38</v>
      </c>
      <c r="D184" s="28">
        <f t="shared" ca="1" si="3"/>
        <v>0.1104766428482921</v>
      </c>
    </row>
    <row r="185" spans="2:4" ht="15.75" customHeight="1" x14ac:dyDescent="0.15">
      <c r="C185" s="4" t="s">
        <v>76</v>
      </c>
      <c r="D185" s="28">
        <f t="shared" ca="1" si="3"/>
        <v>6.8434802362562469E-2</v>
      </c>
    </row>
    <row r="186" spans="2:4" ht="15.75" customHeight="1" x14ac:dyDescent="0.15">
      <c r="C186" s="4" t="s">
        <v>39</v>
      </c>
      <c r="D186" s="28">
        <f t="shared" ca="1" si="3"/>
        <v>5.6874974185287676E-2</v>
      </c>
    </row>
    <row r="187" spans="2:4" ht="15.75" customHeight="1" x14ac:dyDescent="0.15">
      <c r="C187" s="4" t="s">
        <v>80</v>
      </c>
      <c r="D187" s="28">
        <f t="shared" ca="1" si="3"/>
        <v>5.5052455495435956E-2</v>
      </c>
    </row>
    <row r="188" spans="2:4" ht="15.75" customHeight="1" x14ac:dyDescent="0.15">
      <c r="C188" s="4" t="s">
        <v>77</v>
      </c>
      <c r="D188" s="28">
        <f t="shared" ca="1" si="3"/>
        <v>5.487175250919004E-2</v>
      </c>
    </row>
    <row r="189" spans="2:4" ht="15.75" customHeight="1" x14ac:dyDescent="0.15"/>
    <row r="190" spans="2:4" ht="15.75" customHeight="1" x14ac:dyDescent="0.15"/>
    <row r="191" spans="2:4" ht="15.75" customHeight="1" x14ac:dyDescent="0.15">
      <c r="B191" s="5" t="s">
        <v>146</v>
      </c>
    </row>
    <row r="192" spans="2:4" ht="15.75" customHeight="1" x14ac:dyDescent="0.15"/>
    <row r="193" spans="2:7" ht="15.75" customHeight="1" x14ac:dyDescent="0.15">
      <c r="B193" s="10" t="s">
        <v>55</v>
      </c>
      <c r="C193" s="11" t="s">
        <v>56</v>
      </c>
      <c r="D193" s="10" t="s">
        <v>88</v>
      </c>
      <c r="F193" s="10" t="s">
        <v>55</v>
      </c>
      <c r="G193" s="10" t="s">
        <v>54</v>
      </c>
    </row>
    <row r="194" spans="2:7" ht="15.75" customHeight="1" x14ac:dyDescent="0.15">
      <c r="B194" s="12">
        <v>2017</v>
      </c>
      <c r="C194" s="6">
        <v>13118</v>
      </c>
      <c r="D194" s="13">
        <v>20572</v>
      </c>
      <c r="F194" s="12">
        <v>2017</v>
      </c>
      <c r="G194" s="6">
        <v>10139839</v>
      </c>
    </row>
    <row r="195" spans="2:7" ht="15.75" customHeight="1" x14ac:dyDescent="0.15">
      <c r="B195" s="12">
        <v>2018</v>
      </c>
      <c r="C195" s="6">
        <v>12934</v>
      </c>
      <c r="D195" s="13">
        <v>20572</v>
      </c>
      <c r="F195" s="12">
        <v>2018</v>
      </c>
      <c r="G195" s="6">
        <v>10441884</v>
      </c>
    </row>
    <row r="196" spans="2:7" ht="15.75" customHeight="1" x14ac:dyDescent="0.15">
      <c r="B196" s="12">
        <v>2019</v>
      </c>
      <c r="C196" s="6">
        <v>12943</v>
      </c>
      <c r="D196" s="13">
        <v>20572</v>
      </c>
      <c r="F196" s="12">
        <v>2019</v>
      </c>
      <c r="G196" s="13">
        <v>10310063</v>
      </c>
    </row>
    <row r="197" spans="2:7" ht="15.75" customHeight="1" x14ac:dyDescent="0.15">
      <c r="E197" s="9"/>
    </row>
    <row r="198" spans="2:7" ht="15.75" customHeight="1" x14ac:dyDescent="0.15"/>
    <row r="199" spans="2:7" ht="15.75" customHeight="1" x14ac:dyDescent="0.15"/>
    <row r="200" spans="2:7" ht="15.75" customHeight="1" x14ac:dyDescent="0.15"/>
    <row r="201" spans="2:7" ht="15.75" customHeight="1" x14ac:dyDescent="0.15"/>
    <row r="202" spans="2:7" ht="15.75" customHeight="1" x14ac:dyDescent="0.15"/>
    <row r="203" spans="2:7" ht="15.75" customHeight="1" x14ac:dyDescent="0.15"/>
    <row r="204" spans="2:7" ht="15.75" customHeight="1" x14ac:dyDescent="0.15">
      <c r="C204" s="6"/>
    </row>
    <row r="205" spans="2:7" ht="15.75" customHeight="1" x14ac:dyDescent="0.15">
      <c r="C205" s="6"/>
    </row>
    <row r="206" spans="2:7" ht="15.75" customHeight="1" x14ac:dyDescent="0.15">
      <c r="C206" s="6"/>
    </row>
    <row r="207" spans="2:7" ht="15.75" customHeight="1" x14ac:dyDescent="0.15">
      <c r="C207" s="6"/>
    </row>
    <row r="208" spans="2:7" ht="15.75" customHeight="1" x14ac:dyDescent="0.15">
      <c r="C208" s="6"/>
    </row>
    <row r="209" spans="2:5" ht="15.75" customHeight="1" x14ac:dyDescent="0.15">
      <c r="C209" s="6"/>
    </row>
    <row r="210" spans="2:5" ht="15.75" customHeight="1" x14ac:dyDescent="0.15">
      <c r="C210" s="6"/>
    </row>
    <row r="211" spans="2:5" ht="15.75" customHeight="1" x14ac:dyDescent="0.15">
      <c r="C211" s="6"/>
    </row>
    <row r="212" spans="2:5" ht="15.75" customHeight="1" x14ac:dyDescent="0.15">
      <c r="C212" s="6"/>
    </row>
    <row r="213" spans="2:5" ht="15.75" customHeight="1" x14ac:dyDescent="0.15">
      <c r="C213" s="6"/>
    </row>
    <row r="214" spans="2:5" ht="15.75" customHeight="1" x14ac:dyDescent="0.15">
      <c r="C214" s="6"/>
    </row>
    <row r="215" spans="2:5" ht="15.75" customHeight="1" x14ac:dyDescent="0.15">
      <c r="B215" s="4" t="s">
        <v>97</v>
      </c>
      <c r="C215" s="6"/>
    </row>
    <row r="216" spans="2:5" ht="15.75" customHeight="1" x14ac:dyDescent="0.15">
      <c r="B216" s="4" t="s">
        <v>155</v>
      </c>
      <c r="C216" s="6"/>
    </row>
    <row r="217" spans="2:5" ht="15.75" customHeight="1" x14ac:dyDescent="0.15">
      <c r="B217" s="4" t="s">
        <v>147</v>
      </c>
      <c r="C217" s="6"/>
    </row>
    <row r="218" spans="2:5" ht="15.75" customHeight="1" x14ac:dyDescent="0.15">
      <c r="B218" s="4" t="s">
        <v>168</v>
      </c>
      <c r="C218" s="6"/>
    </row>
    <row r="219" spans="2:5" ht="15.75" customHeight="1" x14ac:dyDescent="0.15"/>
    <row r="220" spans="2:5" ht="15.75" customHeight="1" x14ac:dyDescent="0.15">
      <c r="B220" s="10" t="s">
        <v>57</v>
      </c>
      <c r="C220" s="10">
        <v>2017</v>
      </c>
      <c r="D220" s="10">
        <v>2018</v>
      </c>
      <c r="E220" s="10">
        <v>2019</v>
      </c>
    </row>
    <row r="221" spans="2:5" ht="15.75" customHeight="1" x14ac:dyDescent="0.15">
      <c r="B221" s="4" t="s">
        <v>58</v>
      </c>
      <c r="C221" s="13">
        <f>632470+26</f>
        <v>632496</v>
      </c>
      <c r="D221" s="13">
        <f>637708+73</f>
        <v>637781</v>
      </c>
      <c r="E221" s="13">
        <f>679487+33</f>
        <v>679520</v>
      </c>
    </row>
    <row r="222" spans="2:5" ht="15.75" customHeight="1" x14ac:dyDescent="0.15">
      <c r="B222" s="4" t="s">
        <v>59</v>
      </c>
      <c r="C222" s="13">
        <f>612296+45</f>
        <v>612341</v>
      </c>
      <c r="D222" s="13">
        <f>568161+27</f>
        <v>568188</v>
      </c>
      <c r="E222" s="13">
        <f>691714+56</f>
        <v>691770</v>
      </c>
    </row>
    <row r="223" spans="2:5" ht="15.75" customHeight="1" x14ac:dyDescent="0.15">
      <c r="B223" s="4" t="s">
        <v>60</v>
      </c>
      <c r="C223" s="13">
        <f>639849+203</f>
        <v>640052</v>
      </c>
      <c r="D223" s="13">
        <f>595914+85</f>
        <v>595999</v>
      </c>
      <c r="E223" s="13">
        <f>784351+59</f>
        <v>784410</v>
      </c>
    </row>
    <row r="224" spans="2:5" ht="15.75" customHeight="1" x14ac:dyDescent="0.15">
      <c r="B224" s="4" t="s">
        <v>61</v>
      </c>
      <c r="C224" s="13">
        <f>908274+182</f>
        <v>908456</v>
      </c>
      <c r="D224" s="13">
        <f>813612+64</f>
        <v>813676</v>
      </c>
      <c r="E224" s="13">
        <f>880513</f>
        <v>880513</v>
      </c>
    </row>
    <row r="225" spans="2:5" ht="15.75" customHeight="1" x14ac:dyDescent="0.15">
      <c r="B225" s="4" t="s">
        <v>62</v>
      </c>
      <c r="C225" s="13">
        <f>982747+184</f>
        <v>982931</v>
      </c>
      <c r="D225" s="13">
        <f>1099173+212</f>
        <v>1099385</v>
      </c>
      <c r="E225" s="13">
        <f>995681+287</f>
        <v>995968</v>
      </c>
    </row>
    <row r="226" spans="2:5" ht="15.75" customHeight="1" x14ac:dyDescent="0.15">
      <c r="B226" s="4" t="s">
        <v>63</v>
      </c>
      <c r="C226" s="13">
        <f>1086943+260</f>
        <v>1087203</v>
      </c>
      <c r="D226" s="13">
        <f>1168246+421</f>
        <v>1168667</v>
      </c>
      <c r="E226" s="13">
        <f>993559+188</f>
        <v>993747</v>
      </c>
    </row>
    <row r="227" spans="2:5" ht="15.75" customHeight="1" x14ac:dyDescent="0.15">
      <c r="B227" s="4" t="s">
        <v>64</v>
      </c>
      <c r="C227" s="13">
        <f>1120602+108</f>
        <v>1120710</v>
      </c>
      <c r="D227" s="13">
        <f>1239205</f>
        <v>1239205</v>
      </c>
      <c r="E227" s="13">
        <f>1138539+164</f>
        <v>1138703</v>
      </c>
    </row>
    <row r="228" spans="2:5" ht="15.75" customHeight="1" x14ac:dyDescent="0.15">
      <c r="B228" s="4" t="s">
        <v>65</v>
      </c>
      <c r="C228" s="13">
        <f>982786+176</f>
        <v>982962</v>
      </c>
      <c r="D228" s="13">
        <f>1046344+238</f>
        <v>1046582</v>
      </c>
      <c r="E228" s="13">
        <f>1041028+273</f>
        <v>1041301</v>
      </c>
    </row>
    <row r="229" spans="2:5" ht="15.75" customHeight="1" x14ac:dyDescent="0.15">
      <c r="B229" s="4" t="s">
        <v>66</v>
      </c>
      <c r="C229" s="13">
        <f>913139+136</f>
        <v>913275</v>
      </c>
      <c r="D229" s="13">
        <f>998020+98</f>
        <v>998118</v>
      </c>
      <c r="E229" s="13">
        <f>955147+59</f>
        <v>955206</v>
      </c>
    </row>
    <row r="230" spans="2:5" ht="15.75" customHeight="1" x14ac:dyDescent="0.15">
      <c r="B230" s="4" t="s">
        <v>67</v>
      </c>
      <c r="C230" s="13">
        <f>951273</f>
        <v>951273</v>
      </c>
      <c r="D230" s="13">
        <f>967042+72</f>
        <v>967114</v>
      </c>
      <c r="E230" s="13">
        <f>841654+118</f>
        <v>841772</v>
      </c>
    </row>
    <row r="231" spans="2:5" ht="15.75" customHeight="1" x14ac:dyDescent="0.15">
      <c r="B231" s="4" t="s">
        <v>68</v>
      </c>
      <c r="C231" s="13">
        <f>781710+76</f>
        <v>781786</v>
      </c>
      <c r="D231" s="13">
        <f>728521+137</f>
        <v>728658</v>
      </c>
      <c r="E231" s="13">
        <f>721540+121</f>
        <v>721661</v>
      </c>
    </row>
    <row r="232" spans="2:5" ht="15.75" customHeight="1" x14ac:dyDescent="0.15">
      <c r="B232" s="4" t="s">
        <v>69</v>
      </c>
      <c r="C232" s="13">
        <f>526043+311</f>
        <v>526354</v>
      </c>
      <c r="D232" s="13">
        <f>578023+488</f>
        <v>578511</v>
      </c>
      <c r="E232" s="13">
        <f>585492</f>
        <v>585492</v>
      </c>
    </row>
    <row r="233" spans="2:5" ht="15.75" customHeight="1" x14ac:dyDescent="0.15">
      <c r="C233" s="9"/>
      <c r="D233" s="9"/>
    </row>
    <row r="234" spans="2:5" ht="15.75" customHeight="1" x14ac:dyDescent="0.15">
      <c r="B234" s="4" t="s">
        <v>171</v>
      </c>
    </row>
    <row r="235" spans="2:5" ht="15.75" customHeight="1" x14ac:dyDescent="0.15">
      <c r="B235" s="4" t="s">
        <v>85</v>
      </c>
    </row>
    <row r="236" spans="2:5" ht="15.75" customHeight="1" x14ac:dyDescent="0.15"/>
    <row r="237" spans="2:5" ht="15.75" customHeight="1" x14ac:dyDescent="0.15"/>
    <row r="238" spans="2:5" ht="15.75" customHeight="1" x14ac:dyDescent="0.15"/>
    <row r="239" spans="2:5" ht="15.75" customHeight="1" x14ac:dyDescent="0.15"/>
    <row r="240" spans="2:5" ht="15.75" customHeight="1" x14ac:dyDescent="0.15"/>
    <row r="241" spans="2:8" ht="15.75" customHeight="1" x14ac:dyDescent="0.15">
      <c r="B241" s="5" t="s">
        <v>84</v>
      </c>
    </row>
    <row r="242" spans="2:8" ht="15.75" customHeight="1" x14ac:dyDescent="0.15"/>
    <row r="243" spans="2:8" ht="15.75" customHeight="1" x14ac:dyDescent="0.15">
      <c r="B243" s="19"/>
      <c r="C243" s="41">
        <v>2017</v>
      </c>
      <c r="D243" s="41"/>
      <c r="E243" s="16">
        <v>2018</v>
      </c>
      <c r="F243" s="16"/>
      <c r="G243" s="41">
        <v>2019</v>
      </c>
      <c r="H243" s="41"/>
    </row>
    <row r="244" spans="2:8" ht="15.75" customHeight="1" x14ac:dyDescent="0.15">
      <c r="B244" s="20"/>
      <c r="C244" s="16" t="s">
        <v>72</v>
      </c>
      <c r="D244" s="16" t="s">
        <v>73</v>
      </c>
      <c r="E244" s="16" t="s">
        <v>72</v>
      </c>
      <c r="F244" s="16" t="s">
        <v>73</v>
      </c>
      <c r="G244" s="16" t="s">
        <v>72</v>
      </c>
      <c r="H244" s="16" t="s">
        <v>73</v>
      </c>
    </row>
    <row r="245" spans="2:8" ht="15.75" customHeight="1" x14ac:dyDescent="0.15">
      <c r="B245" s="33" t="s">
        <v>62</v>
      </c>
      <c r="C245" s="25" t="s">
        <v>36</v>
      </c>
      <c r="D245" s="26">
        <v>10716</v>
      </c>
      <c r="E245" s="25" t="s">
        <v>36</v>
      </c>
      <c r="F245" s="26">
        <v>11700</v>
      </c>
      <c r="G245" s="25" t="s">
        <v>36</v>
      </c>
      <c r="H245" s="26">
        <v>8680</v>
      </c>
    </row>
    <row r="246" spans="2:8" ht="15.75" customHeight="1" x14ac:dyDescent="0.15">
      <c r="B246" s="34"/>
      <c r="C246" s="25" t="s">
        <v>34</v>
      </c>
      <c r="D246" s="26">
        <v>8923</v>
      </c>
      <c r="E246" s="25" t="s">
        <v>39</v>
      </c>
      <c r="F246" s="26">
        <v>9012</v>
      </c>
      <c r="G246" s="25" t="s">
        <v>34</v>
      </c>
      <c r="H246" s="26">
        <v>7812</v>
      </c>
    </row>
    <row r="247" spans="2:8" ht="15.75" customHeight="1" x14ac:dyDescent="0.15">
      <c r="B247" s="34"/>
      <c r="C247" s="25" t="s">
        <v>35</v>
      </c>
      <c r="D247" s="26">
        <v>7727</v>
      </c>
      <c r="E247" s="25" t="s">
        <v>34</v>
      </c>
      <c r="F247" s="26">
        <v>8642</v>
      </c>
      <c r="G247" s="25" t="s">
        <v>35</v>
      </c>
      <c r="H247" s="26">
        <v>6729</v>
      </c>
    </row>
    <row r="248" spans="2:8" ht="15.75" customHeight="1" x14ac:dyDescent="0.15">
      <c r="B248" s="34"/>
      <c r="C248" s="25" t="s">
        <v>39</v>
      </c>
      <c r="D248" s="26">
        <v>7525</v>
      </c>
      <c r="E248" s="25" t="s">
        <v>38</v>
      </c>
      <c r="F248" s="26">
        <v>8263</v>
      </c>
      <c r="G248" s="25" t="s">
        <v>39</v>
      </c>
      <c r="H248" s="26">
        <v>6176</v>
      </c>
    </row>
    <row r="249" spans="2:8" ht="15.75" customHeight="1" x14ac:dyDescent="0.15">
      <c r="B249" s="35"/>
      <c r="C249" s="25" t="s">
        <v>38</v>
      </c>
      <c r="D249" s="26">
        <v>6149</v>
      </c>
      <c r="E249" s="25" t="s">
        <v>75</v>
      </c>
      <c r="F249" s="26">
        <v>7807</v>
      </c>
      <c r="G249" s="25" t="s">
        <v>37</v>
      </c>
      <c r="H249" s="26">
        <v>6153</v>
      </c>
    </row>
    <row r="250" spans="2:8" ht="15.75" customHeight="1" x14ac:dyDescent="0.15">
      <c r="B250" s="36" t="s">
        <v>63</v>
      </c>
      <c r="C250" s="17" t="s">
        <v>36</v>
      </c>
      <c r="D250" s="18">
        <v>10393</v>
      </c>
      <c r="E250" s="17" t="s">
        <v>36</v>
      </c>
      <c r="F250" s="18">
        <v>12567</v>
      </c>
      <c r="G250" s="17" t="s">
        <v>36</v>
      </c>
      <c r="H250" s="18">
        <v>8518</v>
      </c>
    </row>
    <row r="251" spans="2:8" ht="15.75" customHeight="1" x14ac:dyDescent="0.15">
      <c r="B251" s="37"/>
      <c r="C251" s="17" t="s">
        <v>34</v>
      </c>
      <c r="D251" s="18">
        <v>9333</v>
      </c>
      <c r="E251" s="17" t="s">
        <v>39</v>
      </c>
      <c r="F251" s="18">
        <v>9502</v>
      </c>
      <c r="G251" s="17" t="s">
        <v>34</v>
      </c>
      <c r="H251" s="18">
        <v>7666</v>
      </c>
    </row>
    <row r="252" spans="2:8" ht="15.75" customHeight="1" x14ac:dyDescent="0.15">
      <c r="B252" s="37"/>
      <c r="C252" s="17" t="s">
        <v>39</v>
      </c>
      <c r="D252" s="18">
        <v>8278</v>
      </c>
      <c r="E252" s="17" t="s">
        <v>34</v>
      </c>
      <c r="F252" s="18">
        <v>8800</v>
      </c>
      <c r="G252" s="17" t="s">
        <v>39</v>
      </c>
      <c r="H252" s="18">
        <v>7140</v>
      </c>
    </row>
    <row r="253" spans="2:8" ht="15.75" customHeight="1" x14ac:dyDescent="0.15">
      <c r="B253" s="37"/>
      <c r="C253" s="17" t="s">
        <v>35</v>
      </c>
      <c r="D253" s="18">
        <v>7783</v>
      </c>
      <c r="E253" s="17" t="s">
        <v>38</v>
      </c>
      <c r="F253" s="18">
        <v>7978</v>
      </c>
      <c r="G253" s="17" t="s">
        <v>38</v>
      </c>
      <c r="H253" s="18">
        <v>6843</v>
      </c>
    </row>
    <row r="254" spans="2:8" ht="15.75" customHeight="1" x14ac:dyDescent="0.15">
      <c r="B254" s="38"/>
      <c r="C254" s="17" t="s">
        <v>38</v>
      </c>
      <c r="D254" s="18">
        <v>7304</v>
      </c>
      <c r="E254" s="17" t="s">
        <v>75</v>
      </c>
      <c r="F254" s="18">
        <v>7525</v>
      </c>
      <c r="G254" s="17" t="s">
        <v>35</v>
      </c>
      <c r="H254" s="18">
        <v>6411</v>
      </c>
    </row>
    <row r="255" spans="2:8" ht="15.75" customHeight="1" x14ac:dyDescent="0.15">
      <c r="B255" s="33" t="s">
        <v>64</v>
      </c>
      <c r="C255" s="25" t="s">
        <v>36</v>
      </c>
      <c r="D255" s="26">
        <v>11772</v>
      </c>
      <c r="E255" s="25" t="s">
        <v>36</v>
      </c>
      <c r="F255" s="26">
        <v>10405</v>
      </c>
      <c r="G255" s="25" t="s">
        <v>34</v>
      </c>
      <c r="H255" s="26">
        <v>8244</v>
      </c>
    </row>
    <row r="256" spans="2:8" ht="15.75" customHeight="1" x14ac:dyDescent="0.15">
      <c r="B256" s="34"/>
      <c r="C256" s="25" t="s">
        <v>39</v>
      </c>
      <c r="D256" s="26">
        <v>9310</v>
      </c>
      <c r="E256" s="25" t="s">
        <v>34</v>
      </c>
      <c r="F256" s="26">
        <v>9394</v>
      </c>
      <c r="G256" s="25" t="s">
        <v>36</v>
      </c>
      <c r="H256" s="26">
        <v>7677</v>
      </c>
    </row>
    <row r="257" spans="2:9" ht="15.75" customHeight="1" x14ac:dyDescent="0.15">
      <c r="B257" s="34"/>
      <c r="C257" s="25" t="s">
        <v>34</v>
      </c>
      <c r="D257" s="26">
        <v>9295</v>
      </c>
      <c r="E257" s="25" t="s">
        <v>39</v>
      </c>
      <c r="F257" s="26">
        <v>8632</v>
      </c>
      <c r="G257" s="25" t="s">
        <v>35</v>
      </c>
      <c r="H257" s="26">
        <v>7552</v>
      </c>
    </row>
    <row r="258" spans="2:9" ht="15.75" customHeight="1" x14ac:dyDescent="0.15">
      <c r="B258" s="34"/>
      <c r="C258" s="25" t="s">
        <v>38</v>
      </c>
      <c r="D258" s="26">
        <v>8687</v>
      </c>
      <c r="E258" s="25" t="s">
        <v>41</v>
      </c>
      <c r="F258" s="26">
        <v>7556</v>
      </c>
      <c r="G258" s="25" t="s">
        <v>38</v>
      </c>
      <c r="H258" s="26">
        <v>7166</v>
      </c>
    </row>
    <row r="259" spans="2:9" ht="15.75" customHeight="1" x14ac:dyDescent="0.15">
      <c r="B259" s="35"/>
      <c r="C259" s="25" t="s">
        <v>35</v>
      </c>
      <c r="D259" s="26">
        <v>7764</v>
      </c>
      <c r="E259" s="25" t="s">
        <v>38</v>
      </c>
      <c r="F259" s="26">
        <v>7346</v>
      </c>
      <c r="G259" s="25" t="s">
        <v>41</v>
      </c>
      <c r="H259" s="26">
        <v>6879</v>
      </c>
    </row>
    <row r="260" spans="2:9" ht="15.75" customHeight="1" x14ac:dyDescent="0.15">
      <c r="B260" s="36" t="s">
        <v>65</v>
      </c>
      <c r="C260" s="17" t="s">
        <v>36</v>
      </c>
      <c r="D260" s="23">
        <v>10552</v>
      </c>
      <c r="E260" s="17" t="s">
        <v>36</v>
      </c>
      <c r="F260" s="23">
        <v>11759</v>
      </c>
      <c r="G260" s="17" t="s">
        <v>36</v>
      </c>
      <c r="H260" s="23">
        <v>10837</v>
      </c>
    </row>
    <row r="261" spans="2:9" ht="15.75" customHeight="1" x14ac:dyDescent="0.15">
      <c r="B261" s="37"/>
      <c r="C261" s="17" t="s">
        <v>34</v>
      </c>
      <c r="D261" s="23">
        <v>7955</v>
      </c>
      <c r="E261" s="17" t="s">
        <v>38</v>
      </c>
      <c r="F261" s="23">
        <v>8659</v>
      </c>
      <c r="G261" s="17" t="s">
        <v>38</v>
      </c>
      <c r="H261" s="23">
        <v>7837</v>
      </c>
    </row>
    <row r="262" spans="2:9" ht="15.75" customHeight="1" x14ac:dyDescent="0.15">
      <c r="B262" s="37"/>
      <c r="C262" s="17" t="s">
        <v>75</v>
      </c>
      <c r="D262" s="23">
        <v>7688</v>
      </c>
      <c r="E262" s="17" t="s">
        <v>34</v>
      </c>
      <c r="F262" s="23">
        <v>7856</v>
      </c>
      <c r="G262" s="17" t="s">
        <v>34</v>
      </c>
      <c r="H262" s="23">
        <v>7163</v>
      </c>
    </row>
    <row r="263" spans="2:9" ht="15.75" customHeight="1" x14ac:dyDescent="0.15">
      <c r="B263" s="37"/>
      <c r="C263" s="17" t="s">
        <v>38</v>
      </c>
      <c r="D263" s="23">
        <v>7432</v>
      </c>
      <c r="E263" s="17" t="s">
        <v>75</v>
      </c>
      <c r="F263" s="23">
        <v>7444</v>
      </c>
      <c r="G263" s="17" t="s">
        <v>39</v>
      </c>
      <c r="H263" s="23">
        <v>7108</v>
      </c>
    </row>
    <row r="264" spans="2:9" ht="15.75" customHeight="1" x14ac:dyDescent="0.15">
      <c r="B264" s="38"/>
      <c r="C264" s="17" t="s">
        <v>39</v>
      </c>
      <c r="D264" s="23">
        <v>6119</v>
      </c>
      <c r="E264" s="17" t="s">
        <v>35</v>
      </c>
      <c r="F264" s="23">
        <v>6918</v>
      </c>
      <c r="G264" s="17" t="s">
        <v>75</v>
      </c>
      <c r="H264" s="23">
        <v>6956</v>
      </c>
    </row>
    <row r="265" spans="2:9" ht="15.75" customHeight="1" x14ac:dyDescent="0.15">
      <c r="D265" s="6">
        <f>SUM(D245:D264)</f>
        <v>170705</v>
      </c>
      <c r="F265" s="6">
        <f>SUM(F245:F264)</f>
        <v>177765</v>
      </c>
      <c r="H265" s="6">
        <f>SUM(H245:H264)</f>
        <v>149547</v>
      </c>
      <c r="I265" s="6">
        <f>SUM(D265,F265,H265)</f>
        <v>498017</v>
      </c>
    </row>
    <row r="266" spans="2:9" ht="15.75" customHeight="1" x14ac:dyDescent="0.15"/>
    <row r="267" spans="2:9" ht="15.75" customHeight="1" x14ac:dyDescent="0.15">
      <c r="B267" s="4" t="s">
        <v>86</v>
      </c>
      <c r="C267" s="4" t="s">
        <v>36</v>
      </c>
      <c r="D267" s="28">
        <f t="shared" ref="D267:D273" ca="1" si="4">SUM(SUMIF($C$245:$D$264,$C267,$D$245:$D$264),SUMIF($E$246:$F$265,$C267,$F$245:$F$264),SUMIF($G$245:$H$264,$C267,$H$245:$H$264))/$I$265</f>
        <v>0.2044568759700974</v>
      </c>
    </row>
    <row r="268" spans="2:9" ht="15.75" customHeight="1" x14ac:dyDescent="0.15">
      <c r="C268" s="4" t="s">
        <v>34</v>
      </c>
      <c r="D268" s="28">
        <f t="shared" ca="1" si="4"/>
        <v>0.20876596582044388</v>
      </c>
    </row>
    <row r="269" spans="2:9" ht="15.75" customHeight="1" x14ac:dyDescent="0.15">
      <c r="C269" s="4" t="s">
        <v>38</v>
      </c>
      <c r="D269" s="28">
        <f t="shared" ca="1" si="4"/>
        <v>0.17705218898150063</v>
      </c>
    </row>
    <row r="270" spans="2:9" ht="15.75" customHeight="1" x14ac:dyDescent="0.15">
      <c r="C270" s="4" t="s">
        <v>39</v>
      </c>
      <c r="D270" s="28">
        <f t="shared" ca="1" si="4"/>
        <v>0.17131342905965058</v>
      </c>
    </row>
    <row r="271" spans="2:9" ht="15.75" customHeight="1" x14ac:dyDescent="0.15">
      <c r="C271" s="4" t="s">
        <v>35</v>
      </c>
      <c r="D271" s="28">
        <f t="shared" ca="1" si="4"/>
        <v>0.10322940783145956</v>
      </c>
    </row>
    <row r="272" spans="2:9" ht="15.75" customHeight="1" x14ac:dyDescent="0.15">
      <c r="C272" s="4" t="s">
        <v>75</v>
      </c>
      <c r="D272" s="28">
        <f t="shared" ca="1" si="4"/>
        <v>7.7790517191180214E-2</v>
      </c>
    </row>
    <row r="273" spans="2:8" ht="15.75" customHeight="1" x14ac:dyDescent="0.15">
      <c r="C273" s="4" t="s">
        <v>41</v>
      </c>
      <c r="D273" s="28">
        <f t="shared" ca="1" si="4"/>
        <v>3.1145523144792246E-2</v>
      </c>
    </row>
    <row r="274" spans="2:8" ht="15.75" customHeight="1" x14ac:dyDescent="0.15"/>
    <row r="275" spans="2:8" ht="15.75" customHeight="1" x14ac:dyDescent="0.15"/>
    <row r="276" spans="2:8" ht="15.75" customHeight="1" x14ac:dyDescent="0.15">
      <c r="B276" s="5" t="s">
        <v>87</v>
      </c>
    </row>
    <row r="277" spans="2:8" ht="15.75" customHeight="1" x14ac:dyDescent="0.15"/>
    <row r="278" spans="2:8" ht="15.75" customHeight="1" x14ac:dyDescent="0.15">
      <c r="B278" s="19"/>
      <c r="C278" s="41">
        <v>2017</v>
      </c>
      <c r="D278" s="41"/>
      <c r="E278" s="16">
        <v>2018</v>
      </c>
      <c r="F278" s="16"/>
      <c r="G278" s="41">
        <v>2019</v>
      </c>
      <c r="H278" s="41"/>
    </row>
    <row r="279" spans="2:8" ht="15.75" customHeight="1" x14ac:dyDescent="0.15">
      <c r="B279" s="20"/>
      <c r="C279" s="16" t="s">
        <v>72</v>
      </c>
      <c r="D279" s="16" t="s">
        <v>73</v>
      </c>
      <c r="E279" s="16" t="s">
        <v>72</v>
      </c>
      <c r="F279" s="16" t="s">
        <v>73</v>
      </c>
      <c r="G279" s="16" t="s">
        <v>72</v>
      </c>
      <c r="H279" s="16" t="s">
        <v>73</v>
      </c>
    </row>
    <row r="280" spans="2:8" ht="15.75" customHeight="1" x14ac:dyDescent="0.15">
      <c r="B280" s="33" t="s">
        <v>62</v>
      </c>
      <c r="C280" s="25" t="s">
        <v>36</v>
      </c>
      <c r="D280" s="26">
        <v>10530</v>
      </c>
      <c r="E280" s="25" t="s">
        <v>36</v>
      </c>
      <c r="F280" s="26">
        <v>11696</v>
      </c>
      <c r="G280" s="25" t="s">
        <v>36</v>
      </c>
      <c r="H280" s="26">
        <v>8679</v>
      </c>
    </row>
    <row r="281" spans="2:8" ht="15.75" customHeight="1" x14ac:dyDescent="0.15">
      <c r="B281" s="34"/>
      <c r="C281" s="25" t="s">
        <v>34</v>
      </c>
      <c r="D281" s="26">
        <v>8852</v>
      </c>
      <c r="E281" s="25" t="s">
        <v>39</v>
      </c>
      <c r="F281" s="26">
        <v>9011</v>
      </c>
      <c r="G281" s="25" t="s">
        <v>34</v>
      </c>
      <c r="H281" s="26">
        <v>7810</v>
      </c>
    </row>
    <row r="282" spans="2:8" ht="15.75" customHeight="1" x14ac:dyDescent="0.15">
      <c r="B282" s="34"/>
      <c r="C282" s="25" t="s">
        <v>35</v>
      </c>
      <c r="D282" s="26">
        <v>7669</v>
      </c>
      <c r="E282" s="25" t="s">
        <v>34</v>
      </c>
      <c r="F282" s="26">
        <v>8642</v>
      </c>
      <c r="G282" s="25" t="s">
        <v>35</v>
      </c>
      <c r="H282" s="26">
        <v>6729</v>
      </c>
    </row>
    <row r="283" spans="2:8" ht="15.75" customHeight="1" x14ac:dyDescent="0.15">
      <c r="B283" s="34"/>
      <c r="C283" s="25" t="s">
        <v>39</v>
      </c>
      <c r="D283" s="26">
        <v>7408</v>
      </c>
      <c r="E283" s="25" t="s">
        <v>38</v>
      </c>
      <c r="F283" s="26">
        <v>8262</v>
      </c>
      <c r="G283" s="25" t="s">
        <v>39</v>
      </c>
      <c r="H283" s="26">
        <v>6176</v>
      </c>
    </row>
    <row r="284" spans="2:8" ht="15.75" customHeight="1" x14ac:dyDescent="0.15">
      <c r="B284" s="35"/>
      <c r="C284" s="25" t="s">
        <v>38</v>
      </c>
      <c r="D284" s="26">
        <v>6053</v>
      </c>
      <c r="E284" s="25" t="s">
        <v>75</v>
      </c>
      <c r="F284" s="26">
        <v>7805</v>
      </c>
      <c r="G284" s="25" t="s">
        <v>37</v>
      </c>
      <c r="H284" s="26">
        <v>6150</v>
      </c>
    </row>
    <row r="285" spans="2:8" ht="15.75" customHeight="1" x14ac:dyDescent="0.15">
      <c r="B285" s="36" t="s">
        <v>63</v>
      </c>
      <c r="C285" s="17" t="s">
        <v>36</v>
      </c>
      <c r="D285" s="18">
        <v>10203</v>
      </c>
      <c r="E285" s="17" t="s">
        <v>36</v>
      </c>
      <c r="F285" s="18">
        <v>12561</v>
      </c>
      <c r="G285" s="17" t="s">
        <v>36</v>
      </c>
      <c r="H285" s="18">
        <v>8505</v>
      </c>
    </row>
    <row r="286" spans="2:8" ht="15.75" customHeight="1" x14ac:dyDescent="0.15">
      <c r="B286" s="37"/>
      <c r="C286" s="17" t="s">
        <v>34</v>
      </c>
      <c r="D286" s="18">
        <v>9243</v>
      </c>
      <c r="E286" s="17" t="s">
        <v>39</v>
      </c>
      <c r="F286" s="18">
        <v>9500</v>
      </c>
      <c r="G286" s="17" t="s">
        <v>34</v>
      </c>
      <c r="H286" s="18">
        <v>7668</v>
      </c>
    </row>
    <row r="287" spans="2:8" ht="15.75" customHeight="1" x14ac:dyDescent="0.15">
      <c r="B287" s="37"/>
      <c r="C287" s="17" t="s">
        <v>39</v>
      </c>
      <c r="D287" s="18">
        <v>8142</v>
      </c>
      <c r="E287" s="17" t="s">
        <v>34</v>
      </c>
      <c r="F287" s="18">
        <v>8800</v>
      </c>
      <c r="G287" s="17" t="s">
        <v>39</v>
      </c>
      <c r="H287" s="18">
        <v>7140</v>
      </c>
    </row>
    <row r="288" spans="2:8" ht="15.75" customHeight="1" x14ac:dyDescent="0.15">
      <c r="B288" s="37"/>
      <c r="C288" s="17" t="s">
        <v>35</v>
      </c>
      <c r="D288" s="18">
        <v>7707</v>
      </c>
      <c r="E288" s="17" t="s">
        <v>38</v>
      </c>
      <c r="F288" s="18">
        <v>7979</v>
      </c>
      <c r="G288" s="17" t="s">
        <v>38</v>
      </c>
      <c r="H288" s="18">
        <v>6845</v>
      </c>
    </row>
    <row r="289" spans="2:9" ht="15.75" customHeight="1" x14ac:dyDescent="0.15">
      <c r="B289" s="38"/>
      <c r="C289" s="17" t="s">
        <v>38</v>
      </c>
      <c r="D289" s="18">
        <v>7177</v>
      </c>
      <c r="E289" s="17" t="s">
        <v>75</v>
      </c>
      <c r="F289" s="18">
        <v>7527</v>
      </c>
      <c r="G289" s="17" t="s">
        <v>35</v>
      </c>
      <c r="H289" s="18">
        <v>6411</v>
      </c>
    </row>
    <row r="290" spans="2:9" ht="15.75" customHeight="1" x14ac:dyDescent="0.15">
      <c r="B290" s="33" t="s">
        <v>64</v>
      </c>
      <c r="C290" s="25" t="s">
        <v>36</v>
      </c>
      <c r="D290" s="26">
        <v>11573</v>
      </c>
      <c r="E290" s="25" t="s">
        <v>36</v>
      </c>
      <c r="F290" s="26">
        <v>10415</v>
      </c>
      <c r="G290" s="25" t="s">
        <v>34</v>
      </c>
      <c r="H290" s="26">
        <v>8243</v>
      </c>
    </row>
    <row r="291" spans="2:9" ht="15.75" customHeight="1" x14ac:dyDescent="0.15">
      <c r="B291" s="34"/>
      <c r="C291" s="25" t="s">
        <v>34</v>
      </c>
      <c r="D291" s="26">
        <v>9207</v>
      </c>
      <c r="E291" s="25" t="s">
        <v>34</v>
      </c>
      <c r="F291" s="26">
        <v>9394</v>
      </c>
      <c r="G291" s="25" t="s">
        <v>36</v>
      </c>
      <c r="H291" s="26">
        <v>7690</v>
      </c>
    </row>
    <row r="292" spans="2:9" ht="15.75" customHeight="1" x14ac:dyDescent="0.15">
      <c r="B292" s="34"/>
      <c r="C292" s="25" t="s">
        <v>39</v>
      </c>
      <c r="D292" s="26">
        <v>9177</v>
      </c>
      <c r="E292" s="25" t="s">
        <v>39</v>
      </c>
      <c r="F292" s="26">
        <v>8635</v>
      </c>
      <c r="G292" s="25" t="s">
        <v>35</v>
      </c>
      <c r="H292" s="26">
        <v>7551</v>
      </c>
    </row>
    <row r="293" spans="2:9" ht="15.75" customHeight="1" x14ac:dyDescent="0.15">
      <c r="B293" s="34"/>
      <c r="C293" s="25" t="s">
        <v>38</v>
      </c>
      <c r="D293" s="26">
        <v>8539</v>
      </c>
      <c r="E293" s="25" t="s">
        <v>41</v>
      </c>
      <c r="F293" s="26">
        <v>7558</v>
      </c>
      <c r="G293" s="25" t="s">
        <v>38</v>
      </c>
      <c r="H293" s="26">
        <v>7167</v>
      </c>
    </row>
    <row r="294" spans="2:9" ht="15.75" customHeight="1" x14ac:dyDescent="0.15">
      <c r="B294" s="35"/>
      <c r="C294" s="25" t="s">
        <v>35</v>
      </c>
      <c r="D294" s="26">
        <v>7716</v>
      </c>
      <c r="E294" s="25" t="s">
        <v>38</v>
      </c>
      <c r="F294" s="26">
        <v>7346</v>
      </c>
      <c r="G294" s="25" t="s">
        <v>41</v>
      </c>
      <c r="H294" s="26">
        <v>6879</v>
      </c>
    </row>
    <row r="295" spans="2:9" ht="15.75" customHeight="1" x14ac:dyDescent="0.15">
      <c r="B295" s="36" t="s">
        <v>65</v>
      </c>
      <c r="C295" s="17" t="s">
        <v>36</v>
      </c>
      <c r="D295" s="23">
        <v>10550</v>
      </c>
      <c r="E295" s="17" t="s">
        <v>36</v>
      </c>
      <c r="F295" s="23">
        <v>11759</v>
      </c>
      <c r="G295" s="17" t="s">
        <v>36</v>
      </c>
      <c r="H295" s="23">
        <v>10837</v>
      </c>
    </row>
    <row r="296" spans="2:9" ht="15.75" customHeight="1" x14ac:dyDescent="0.15">
      <c r="B296" s="37"/>
      <c r="C296" s="17" t="s">
        <v>34</v>
      </c>
      <c r="D296" s="23">
        <v>7955</v>
      </c>
      <c r="E296" s="17" t="s">
        <v>38</v>
      </c>
      <c r="F296" s="23">
        <v>8658</v>
      </c>
      <c r="G296" s="17" t="s">
        <v>38</v>
      </c>
      <c r="H296" s="23">
        <v>7835</v>
      </c>
    </row>
    <row r="297" spans="2:9" ht="15.75" customHeight="1" x14ac:dyDescent="0.15">
      <c r="B297" s="37"/>
      <c r="C297" s="17" t="s">
        <v>75</v>
      </c>
      <c r="D297" s="23">
        <v>7688</v>
      </c>
      <c r="E297" s="17" t="s">
        <v>34</v>
      </c>
      <c r="F297" s="23">
        <v>7856</v>
      </c>
      <c r="G297" s="17" t="s">
        <v>34</v>
      </c>
      <c r="H297" s="23">
        <v>7164</v>
      </c>
    </row>
    <row r="298" spans="2:9" ht="15.75" customHeight="1" x14ac:dyDescent="0.15">
      <c r="B298" s="37"/>
      <c r="C298" s="17" t="s">
        <v>38</v>
      </c>
      <c r="D298" s="23">
        <v>7437</v>
      </c>
      <c r="E298" s="17" t="s">
        <v>75</v>
      </c>
      <c r="F298" s="23">
        <v>7444</v>
      </c>
      <c r="G298" s="17" t="s">
        <v>39</v>
      </c>
      <c r="H298" s="23">
        <v>7104</v>
      </c>
    </row>
    <row r="299" spans="2:9" ht="15.75" customHeight="1" x14ac:dyDescent="0.15">
      <c r="B299" s="38"/>
      <c r="C299" s="17" t="s">
        <v>39</v>
      </c>
      <c r="D299" s="23">
        <v>6119</v>
      </c>
      <c r="E299" s="17" t="s">
        <v>35</v>
      </c>
      <c r="F299" s="23">
        <v>6918</v>
      </c>
      <c r="G299" s="17" t="s">
        <v>75</v>
      </c>
      <c r="H299" s="23">
        <v>6956</v>
      </c>
    </row>
    <row r="300" spans="2:9" ht="15.75" customHeight="1" x14ac:dyDescent="0.15">
      <c r="D300" s="6">
        <f>SUM(D280:D299)</f>
        <v>168945</v>
      </c>
      <c r="F300" s="6">
        <f>SUM(F280:F299)</f>
        <v>177766</v>
      </c>
      <c r="H300" s="6">
        <f>SUM(H280:H299)</f>
        <v>149539</v>
      </c>
      <c r="I300" s="6">
        <f>SUM(D300,F300,H300)</f>
        <v>496250</v>
      </c>
    </row>
    <row r="301" spans="2:9" ht="15.75" customHeight="1" x14ac:dyDescent="0.15"/>
    <row r="302" spans="2:9" ht="15.75" customHeight="1" x14ac:dyDescent="0.15">
      <c r="B302" s="4" t="s">
        <v>81</v>
      </c>
      <c r="C302" s="4" t="s">
        <v>36</v>
      </c>
      <c r="D302" s="28">
        <f t="shared" ref="D302:D308" ca="1" si="5">SUM(SUMIF($C$280:$D$299,$C302,$D$280:$D$299),SUMIF($E$281:$F$300,$C302,$F$280:$F$299),SUMIF($G$280:$H$299,$C302,$H$280:$H$299))/$I$300</f>
        <v>0.20402015113350125</v>
      </c>
    </row>
    <row r="303" spans="2:9" ht="15.75" customHeight="1" x14ac:dyDescent="0.15">
      <c r="C303" s="4" t="s">
        <v>34</v>
      </c>
      <c r="D303" s="28">
        <f t="shared" ca="1" si="5"/>
        <v>0.20901964735516373</v>
      </c>
    </row>
    <row r="304" spans="2:9" ht="15.75" customHeight="1" x14ac:dyDescent="0.15">
      <c r="C304" s="4" t="s">
        <v>38</v>
      </c>
      <c r="D304" s="28">
        <f t="shared" ca="1" si="5"/>
        <v>0.17695113350125943</v>
      </c>
    </row>
    <row r="305" spans="2:4" ht="15.75" customHeight="1" x14ac:dyDescent="0.15">
      <c r="C305" s="4" t="s">
        <v>39</v>
      </c>
      <c r="D305" s="28">
        <f t="shared" ca="1" si="5"/>
        <v>0.17111738035264484</v>
      </c>
    </row>
    <row r="306" spans="2:4" ht="15.75" customHeight="1" x14ac:dyDescent="0.15">
      <c r="C306" s="4" t="s">
        <v>35</v>
      </c>
      <c r="D306" s="28">
        <f t="shared" ca="1" si="5"/>
        <v>0.10322821158690176</v>
      </c>
    </row>
    <row r="307" spans="2:4" ht="15.75" customHeight="1" x14ac:dyDescent="0.15">
      <c r="C307" s="4" t="s">
        <v>75</v>
      </c>
      <c r="D307" s="28">
        <f t="shared" ca="1" si="5"/>
        <v>7.8067506297229222E-2</v>
      </c>
    </row>
    <row r="308" spans="2:4" ht="15.75" customHeight="1" x14ac:dyDescent="0.15">
      <c r="C308" s="4" t="s">
        <v>41</v>
      </c>
      <c r="D308" s="28">
        <f t="shared" ca="1" si="5"/>
        <v>3.1262468513853905E-2</v>
      </c>
    </row>
    <row r="309" spans="2:4" ht="15.75" customHeight="1" x14ac:dyDescent="0.15"/>
    <row r="310" spans="2:4" ht="15.75" customHeight="1" x14ac:dyDescent="0.15"/>
    <row r="311" spans="2:4" ht="15.75" customHeight="1" x14ac:dyDescent="0.15">
      <c r="B311" s="5" t="s">
        <v>135</v>
      </c>
    </row>
    <row r="312" spans="2:4" ht="15.75" customHeight="1" x14ac:dyDescent="0.15">
      <c r="B312" s="4" t="s">
        <v>153</v>
      </c>
    </row>
    <row r="313" spans="2:4" ht="15.75" customHeight="1" x14ac:dyDescent="0.15">
      <c r="B313" s="4" t="s">
        <v>169</v>
      </c>
    </row>
    <row r="314" spans="2:4" ht="15.75" customHeight="1" x14ac:dyDescent="0.15">
      <c r="B314" s="4" t="s">
        <v>154</v>
      </c>
    </row>
    <row r="315" spans="2:4" ht="15.75" customHeight="1" x14ac:dyDescent="0.15"/>
    <row r="316" spans="2:4" ht="15.75" customHeight="1" x14ac:dyDescent="0.15">
      <c r="B316" s="5" t="s">
        <v>152</v>
      </c>
    </row>
    <row r="317" spans="2:4" ht="15.75" customHeight="1" x14ac:dyDescent="0.15">
      <c r="B317" s="4" t="s">
        <v>136</v>
      </c>
    </row>
    <row r="318" spans="2:4" ht="15.75" customHeight="1" x14ac:dyDescent="0.15">
      <c r="B318" s="4" t="s">
        <v>137</v>
      </c>
    </row>
    <row r="319" spans="2:4" ht="15.75" customHeight="1" x14ac:dyDescent="0.15"/>
    <row r="320" spans="2:4"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row r="1030" ht="15.75" customHeight="1" x14ac:dyDescent="0.15"/>
    <row r="1031" ht="15.75" customHeight="1" x14ac:dyDescent="0.15"/>
    <row r="1032" ht="15.75" customHeight="1" x14ac:dyDescent="0.15"/>
    <row r="1033" ht="15.75" customHeight="1" x14ac:dyDescent="0.15"/>
    <row r="1034" ht="15.75" customHeight="1" x14ac:dyDescent="0.15"/>
    <row r="1035" ht="15.75" customHeight="1" x14ac:dyDescent="0.15"/>
    <row r="1036" ht="15.75" customHeight="1" x14ac:dyDescent="0.15"/>
    <row r="1037" ht="15.75" customHeight="1" x14ac:dyDescent="0.15"/>
    <row r="1038" ht="15.75" customHeight="1" x14ac:dyDescent="0.15"/>
    <row r="1039" ht="15.75" customHeight="1" x14ac:dyDescent="0.15"/>
    <row r="1040" ht="15.75" customHeight="1" x14ac:dyDescent="0.15"/>
    <row r="1041" ht="15.75" customHeight="1" x14ac:dyDescent="0.15"/>
    <row r="1042" ht="15.75" customHeight="1" x14ac:dyDescent="0.15"/>
    <row r="1043" ht="15.75" customHeight="1" x14ac:dyDescent="0.15"/>
    <row r="1044" ht="15.75" customHeight="1" x14ac:dyDescent="0.15"/>
    <row r="1045" ht="15.75" customHeight="1" x14ac:dyDescent="0.15"/>
    <row r="1046" ht="15.75" customHeight="1" x14ac:dyDescent="0.15"/>
    <row r="1047" ht="15.75" customHeight="1" x14ac:dyDescent="0.15"/>
    <row r="1048" ht="15.75" customHeight="1" x14ac:dyDescent="0.15"/>
    <row r="1049" ht="15.75" customHeight="1" x14ac:dyDescent="0.15"/>
    <row r="1050" ht="15.75" customHeight="1" x14ac:dyDescent="0.15"/>
    <row r="1051" ht="15.75" customHeight="1" x14ac:dyDescent="0.15"/>
    <row r="1052" ht="15.75" customHeight="1" x14ac:dyDescent="0.15"/>
    <row r="1053" ht="15.75" customHeight="1" x14ac:dyDescent="0.15"/>
    <row r="1054" ht="15.75" customHeight="1" x14ac:dyDescent="0.15"/>
    <row r="1055" ht="15.75" customHeight="1" x14ac:dyDescent="0.15"/>
    <row r="1056" ht="15.75" customHeight="1" x14ac:dyDescent="0.15"/>
    <row r="1057" ht="15.75" customHeight="1" x14ac:dyDescent="0.15"/>
    <row r="1058" ht="15.75" customHeight="1" x14ac:dyDescent="0.15"/>
    <row r="1059" ht="15.75" customHeight="1" x14ac:dyDescent="0.15"/>
    <row r="1060" ht="15.75" customHeight="1" x14ac:dyDescent="0.15"/>
    <row r="1061" ht="15.75" customHeight="1" x14ac:dyDescent="0.15"/>
    <row r="1062" ht="15.75" customHeight="1" x14ac:dyDescent="0.15"/>
    <row r="1063" ht="15.75" customHeight="1" x14ac:dyDescent="0.15"/>
    <row r="1064" ht="15.75" customHeight="1" x14ac:dyDescent="0.15"/>
    <row r="1065" ht="15.75" customHeight="1" x14ac:dyDescent="0.15"/>
    <row r="1066" ht="15.75" customHeight="1" x14ac:dyDescent="0.15"/>
    <row r="1067" ht="15.75" customHeight="1" x14ac:dyDescent="0.15"/>
    <row r="1068" ht="15.75" customHeight="1" x14ac:dyDescent="0.15"/>
    <row r="1069" ht="15.75" customHeight="1" x14ac:dyDescent="0.15"/>
    <row r="1070" ht="15.75" customHeight="1" x14ac:dyDescent="0.15"/>
    <row r="1071" ht="15.75" customHeight="1" x14ac:dyDescent="0.15"/>
    <row r="1072" ht="15.75" customHeight="1" x14ac:dyDescent="0.15"/>
    <row r="1073" ht="15.75" customHeight="1" x14ac:dyDescent="0.15"/>
    <row r="1074" ht="15.75" customHeight="1" x14ac:dyDescent="0.15"/>
    <row r="1075" ht="15.75" customHeight="1" x14ac:dyDescent="0.15"/>
    <row r="1076" ht="15.75" customHeight="1" x14ac:dyDescent="0.15"/>
    <row r="1077" ht="15.75" customHeight="1" x14ac:dyDescent="0.15"/>
    <row r="1078" ht="15.75" customHeight="1" x14ac:dyDescent="0.15"/>
    <row r="1079" ht="15.75" customHeight="1" x14ac:dyDescent="0.15"/>
    <row r="1080" ht="15.75" customHeight="1" x14ac:dyDescent="0.15"/>
    <row r="1081" ht="15.75" customHeight="1" x14ac:dyDescent="0.15"/>
    <row r="1082" ht="15.75" customHeight="1" x14ac:dyDescent="0.15"/>
    <row r="1083" ht="15.75" customHeight="1" x14ac:dyDescent="0.15"/>
    <row r="1084" ht="15.75" customHeight="1" x14ac:dyDescent="0.15"/>
    <row r="1085" ht="15.75" customHeight="1" x14ac:dyDescent="0.15"/>
    <row r="1086" ht="15.75" customHeight="1" x14ac:dyDescent="0.15"/>
    <row r="1087" ht="15.75" customHeight="1" x14ac:dyDescent="0.15"/>
    <row r="1088" ht="15.75" customHeight="1" x14ac:dyDescent="0.15"/>
    <row r="1089" ht="15.75" customHeight="1" x14ac:dyDescent="0.15"/>
  </sheetData>
  <sortState xmlns:xlrd2="http://schemas.microsoft.com/office/spreadsheetml/2017/richdata2" ref="C181:D189">
    <sortCondition descending="1" ref="D181:D189"/>
  </sortState>
  <mergeCells count="28">
    <mergeCell ref="B145:B149"/>
    <mergeCell ref="B150:B154"/>
    <mergeCell ref="C86:D86"/>
    <mergeCell ref="B88:B92"/>
    <mergeCell ref="B93:B97"/>
    <mergeCell ref="B98:B102"/>
    <mergeCell ref="G278:H278"/>
    <mergeCell ref="C243:D243"/>
    <mergeCell ref="G243:H243"/>
    <mergeCell ref="B245:B249"/>
    <mergeCell ref="B250:B254"/>
    <mergeCell ref="B255:B259"/>
    <mergeCell ref="B280:B284"/>
    <mergeCell ref="B285:B289"/>
    <mergeCell ref="B290:B294"/>
    <mergeCell ref="B295:B299"/>
    <mergeCell ref="B17:C17"/>
    <mergeCell ref="B21:C21"/>
    <mergeCell ref="B260:B264"/>
    <mergeCell ref="C278:D278"/>
    <mergeCell ref="B103:B107"/>
    <mergeCell ref="B108:B112"/>
    <mergeCell ref="B113:B117"/>
    <mergeCell ref="B155:B159"/>
    <mergeCell ref="B160:B164"/>
    <mergeCell ref="B165:B169"/>
    <mergeCell ref="C138:D138"/>
    <mergeCell ref="B140:B144"/>
  </mergeCells>
  <conditionalFormatting sqref="C221:C232">
    <cfRule type="colorScale" priority="3">
      <colorScale>
        <cfvo type="min"/>
        <cfvo type="percentile" val="50"/>
        <cfvo type="max"/>
        <color rgb="FFF8696B"/>
        <color rgb="FFFFEB84"/>
        <color rgb="FF63BE7B"/>
      </colorScale>
    </cfRule>
  </conditionalFormatting>
  <conditionalFormatting sqref="D221:D232">
    <cfRule type="colorScale" priority="2">
      <colorScale>
        <cfvo type="min"/>
        <cfvo type="percentile" val="50"/>
        <cfvo type="max"/>
        <color rgb="FFF8696B"/>
        <color rgb="FFFFEB84"/>
        <color rgb="FF63BE7B"/>
      </colorScale>
    </cfRule>
  </conditionalFormatting>
  <conditionalFormatting sqref="E221:E232">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D1000"/>
  <sheetViews>
    <sheetView workbookViewId="0">
      <selection activeCell="D14" sqref="D14"/>
    </sheetView>
  </sheetViews>
  <sheetFormatPr baseColWidth="10" defaultColWidth="14.5" defaultRowHeight="15" customHeight="1" x14ac:dyDescent="0.15"/>
  <cols>
    <col min="1" max="3" width="14.5" style="24" customWidth="1"/>
    <col min="4" max="4" width="52" style="24" bestFit="1" customWidth="1"/>
    <col min="5" max="6" width="14.5" style="24" customWidth="1"/>
    <col min="7" max="16384" width="14.5" style="24"/>
  </cols>
  <sheetData>
    <row r="1" spans="2:4" ht="15.75" customHeight="1" x14ac:dyDescent="0.15"/>
    <row r="2" spans="2:4" ht="15.75" customHeight="1" x14ac:dyDescent="0.15">
      <c r="B2" s="15" t="s">
        <v>107</v>
      </c>
      <c r="C2" s="15" t="s">
        <v>108</v>
      </c>
      <c r="D2" s="15" t="s">
        <v>109</v>
      </c>
    </row>
    <row r="3" spans="2:4" ht="15.75" customHeight="1" x14ac:dyDescent="0.15">
      <c r="B3" s="4" t="s">
        <v>110</v>
      </c>
      <c r="C3" s="4" t="s">
        <v>121</v>
      </c>
      <c r="D3" s="4" t="s">
        <v>125</v>
      </c>
    </row>
    <row r="4" spans="2:4" ht="15.75" customHeight="1" x14ac:dyDescent="0.15">
      <c r="B4" s="4" t="s">
        <v>111</v>
      </c>
      <c r="C4" s="4" t="s">
        <v>121</v>
      </c>
      <c r="D4" s="4" t="s">
        <v>124</v>
      </c>
    </row>
    <row r="5" spans="2:4" ht="15.75" customHeight="1" x14ac:dyDescent="0.15">
      <c r="B5" s="4" t="s">
        <v>112</v>
      </c>
      <c r="C5" s="4" t="s">
        <v>121</v>
      </c>
      <c r="D5" s="4" t="s">
        <v>127</v>
      </c>
    </row>
    <row r="6" spans="2:4" ht="15.75" customHeight="1" x14ac:dyDescent="0.15">
      <c r="B6" s="4" t="s">
        <v>113</v>
      </c>
      <c r="C6" s="4" t="s">
        <v>121</v>
      </c>
      <c r="D6" s="4" t="s">
        <v>126</v>
      </c>
    </row>
    <row r="7" spans="2:4" ht="15.75" customHeight="1" x14ac:dyDescent="0.15">
      <c r="B7" s="4" t="s">
        <v>114</v>
      </c>
      <c r="C7" s="4" t="s">
        <v>123</v>
      </c>
      <c r="D7" s="4" t="s">
        <v>128</v>
      </c>
    </row>
    <row r="8" spans="2:4" ht="15.75" customHeight="1" x14ac:dyDescent="0.15">
      <c r="B8" s="4" t="s">
        <v>115</v>
      </c>
      <c r="C8" s="4" t="s">
        <v>123</v>
      </c>
      <c r="D8" s="4" t="s">
        <v>129</v>
      </c>
    </row>
    <row r="9" spans="2:4" ht="15.75" customHeight="1" x14ac:dyDescent="0.15">
      <c r="B9" s="4" t="s">
        <v>116</v>
      </c>
      <c r="C9" s="4" t="s">
        <v>121</v>
      </c>
      <c r="D9" s="4" t="s">
        <v>131</v>
      </c>
    </row>
    <row r="10" spans="2:4" ht="15.75" customHeight="1" x14ac:dyDescent="0.15">
      <c r="B10" s="4" t="s">
        <v>117</v>
      </c>
      <c r="C10" s="4" t="s">
        <v>121</v>
      </c>
      <c r="D10" s="4" t="s">
        <v>130</v>
      </c>
    </row>
    <row r="11" spans="2:4" ht="15.75" customHeight="1" x14ac:dyDescent="0.15">
      <c r="B11" s="4" t="s">
        <v>118</v>
      </c>
      <c r="C11" s="4" t="s">
        <v>121</v>
      </c>
      <c r="D11" s="4" t="s">
        <v>132</v>
      </c>
    </row>
    <row r="12" spans="2:4" ht="15.75" customHeight="1" x14ac:dyDescent="0.15">
      <c r="B12" s="4" t="s">
        <v>119</v>
      </c>
      <c r="C12" s="4" t="s">
        <v>122</v>
      </c>
      <c r="D12" s="4" t="s">
        <v>133</v>
      </c>
    </row>
    <row r="13" spans="2:4" ht="15.75" customHeight="1" x14ac:dyDescent="0.15">
      <c r="B13" s="4" t="s">
        <v>120</v>
      </c>
      <c r="C13" s="4" t="s">
        <v>121</v>
      </c>
      <c r="D13" s="4" t="s">
        <v>134</v>
      </c>
    </row>
    <row r="14" spans="2:4" ht="15.75" customHeight="1" x14ac:dyDescent="0.15"/>
    <row r="15" spans="2:4" ht="15.75" customHeight="1" x14ac:dyDescent="0.15"/>
    <row r="16" spans="2: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election activeCell="G18" sqref="G18"/>
    </sheetView>
  </sheetViews>
  <sheetFormatPr baseColWidth="10" defaultColWidth="14.5" defaultRowHeight="15" customHeight="1" x14ac:dyDescent="0.15"/>
  <cols>
    <col min="1" max="1" width="14.5" customWidth="1"/>
    <col min="2" max="2" width="43.83203125" customWidth="1"/>
    <col min="3" max="4" width="10.6640625" customWidth="1"/>
    <col min="5" max="5" width="40.6640625" customWidth="1"/>
    <col min="6" max="6" width="10.6640625" customWidth="1"/>
    <col min="7" max="7" width="14.5" customWidth="1"/>
  </cols>
  <sheetData>
    <row r="1" spans="1:6" ht="15.75" customHeight="1" x14ac:dyDescent="0.15">
      <c r="A1" s="1"/>
    </row>
    <row r="2" spans="1:6" ht="15.75" customHeight="1" x14ac:dyDescent="0.15">
      <c r="A2" s="2"/>
    </row>
    <row r="3" spans="1:6" ht="15.75" customHeight="1" x14ac:dyDescent="0.15"/>
    <row r="4" spans="1:6" ht="15.75" customHeight="1" x14ac:dyDescent="0.15">
      <c r="B4" s="5" t="s">
        <v>44</v>
      </c>
      <c r="C4" s="4" t="s">
        <v>25</v>
      </c>
      <c r="D4" s="4"/>
      <c r="E4" s="5" t="s">
        <v>47</v>
      </c>
      <c r="F4" s="4" t="s">
        <v>25</v>
      </c>
    </row>
    <row r="5" spans="1:6" ht="15.75" customHeight="1" x14ac:dyDescent="0.15">
      <c r="B5" s="4" t="s">
        <v>34</v>
      </c>
      <c r="C5" s="13">
        <v>84578</v>
      </c>
      <c r="D5" s="13"/>
      <c r="E5" s="4" t="s">
        <v>34</v>
      </c>
      <c r="F5" s="13">
        <v>83725</v>
      </c>
    </row>
    <row r="6" spans="1:6" ht="15.75" customHeight="1" x14ac:dyDescent="0.15">
      <c r="B6" s="4" t="s">
        <v>35</v>
      </c>
      <c r="C6" s="13">
        <v>77998</v>
      </c>
      <c r="D6" s="13"/>
      <c r="E6" s="4" t="s">
        <v>35</v>
      </c>
      <c r="F6" s="13">
        <v>74818</v>
      </c>
    </row>
    <row r="7" spans="1:6" ht="15.75" customHeight="1" x14ac:dyDescent="0.15">
      <c r="B7" s="4" t="s">
        <v>36</v>
      </c>
      <c r="C7" s="13">
        <v>71834</v>
      </c>
      <c r="D7" s="13"/>
      <c r="E7" s="4" t="s">
        <v>36</v>
      </c>
      <c r="F7" s="13">
        <v>72300</v>
      </c>
    </row>
    <row r="8" spans="1:6" ht="15.75" customHeight="1" x14ac:dyDescent="0.15">
      <c r="B8" s="4" t="s">
        <v>37</v>
      </c>
      <c r="C8" s="13">
        <v>65950</v>
      </c>
      <c r="D8" s="13"/>
      <c r="E8" s="4" t="s">
        <v>40</v>
      </c>
      <c r="F8" s="13">
        <v>63806</v>
      </c>
    </row>
    <row r="9" spans="1:6" ht="15.75" customHeight="1" x14ac:dyDescent="0.15">
      <c r="B9" s="4" t="s">
        <v>38</v>
      </c>
      <c r="C9" s="13">
        <v>55133</v>
      </c>
      <c r="D9" s="13"/>
      <c r="E9" s="4" t="s">
        <v>37</v>
      </c>
      <c r="F9" s="13">
        <v>62442</v>
      </c>
    </row>
    <row r="10" spans="1:6" ht="15.75" customHeight="1" x14ac:dyDescent="0.15">
      <c r="B10" s="4" t="s">
        <v>39</v>
      </c>
      <c r="C10" s="13">
        <v>54106</v>
      </c>
      <c r="D10" s="13"/>
      <c r="E10" s="4" t="s">
        <v>38</v>
      </c>
      <c r="F10" s="13">
        <v>55632</v>
      </c>
    </row>
    <row r="11" spans="1:6" ht="15.75" customHeight="1" x14ac:dyDescent="0.15">
      <c r="B11" s="4" t="s">
        <v>40</v>
      </c>
      <c r="C11" s="13">
        <v>46697</v>
      </c>
      <c r="D11" s="13"/>
      <c r="E11" s="4" t="s">
        <v>39</v>
      </c>
      <c r="F11" s="13">
        <v>53998</v>
      </c>
    </row>
    <row r="12" spans="1:6" ht="15.75" customHeight="1" x14ac:dyDescent="0.15">
      <c r="B12" s="4" t="s">
        <v>41</v>
      </c>
      <c r="C12" s="13">
        <v>46104</v>
      </c>
      <c r="D12" s="13"/>
      <c r="E12" s="4" t="s">
        <v>45</v>
      </c>
      <c r="F12" s="13">
        <v>53238</v>
      </c>
    </row>
    <row r="13" spans="1:6" ht="15.75" customHeight="1" x14ac:dyDescent="0.15">
      <c r="B13" s="4" t="s">
        <v>42</v>
      </c>
      <c r="C13" s="13">
        <v>45488</v>
      </c>
      <c r="D13" s="13"/>
      <c r="E13" s="4" t="s">
        <v>46</v>
      </c>
      <c r="F13" s="13">
        <v>51870</v>
      </c>
    </row>
    <row r="14" spans="1:6" ht="15.75" customHeight="1" x14ac:dyDescent="0.15">
      <c r="B14" s="4" t="s">
        <v>43</v>
      </c>
      <c r="C14" s="13">
        <v>42816</v>
      </c>
      <c r="D14" s="13"/>
      <c r="E14" s="4" t="s">
        <v>42</v>
      </c>
      <c r="F14" s="13">
        <v>47963</v>
      </c>
    </row>
    <row r="15" spans="1:6" ht="15.75" customHeight="1" x14ac:dyDescent="0.15"/>
    <row r="16" spans="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jojo tan</cp:lastModifiedBy>
  <dcterms:modified xsi:type="dcterms:W3CDTF">2022-12-26T13:31:01Z</dcterms:modified>
</cp:coreProperties>
</file>