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harts/chart4.xml" ContentType="application/vnd.openxmlformats-officedocument.drawingml.chart+xml"/>
  <Override PartName="/xl/drawings/drawing20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1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2.xml" ContentType="application/vnd.openxmlformats-officedocument.drawing+xml"/>
  <Override PartName="/xl/comments1.xml" ContentType="application/vnd.openxmlformats-officedocument.spreadsheetml.comments+xml"/>
  <Override PartName="/xl/charts/chart9.xml" ContentType="application/vnd.openxmlformats-officedocument.drawingml.chart+xml"/>
  <Override PartName="/xl/drawings/drawing2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24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25.xml" ContentType="application/vnd.openxmlformats-officedocument.drawing+xml"/>
  <Override PartName="/xl/charts/chart14.xml" ContentType="application/vnd.openxmlformats-officedocument.drawingml.chart+xml"/>
  <Override PartName="/xl/drawings/drawing26.xml" ContentType="application/vnd.openxmlformats-officedocument.drawing+xml"/>
  <Override PartName="/xl/comments2.xml" ContentType="application/vnd.openxmlformats-officedocument.spreadsheetml.comments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5040" windowWidth="15600" windowHeight="4860" firstSheet="16" activeTab="16"/>
  </bookViews>
  <sheets>
    <sheet name="1994" sheetId="2" r:id="rId1"/>
    <sheet name="1995" sheetId="1" r:id="rId2"/>
    <sheet name="1996" sheetId="3" r:id="rId3"/>
    <sheet name="1997" sheetId="5" r:id="rId4"/>
    <sheet name="1998" sheetId="6" r:id="rId5"/>
    <sheet name="1999" sheetId="7" r:id="rId6"/>
    <sheet name="2000" sheetId="4" r:id="rId7"/>
    <sheet name="2001" sheetId="8" r:id="rId8"/>
    <sheet name="2002" sheetId="9" r:id="rId9"/>
    <sheet name="2003" sheetId="10" r:id="rId10"/>
    <sheet name="2004" sheetId="11" r:id="rId11"/>
    <sheet name="2005" sheetId="12" r:id="rId12"/>
    <sheet name="2006" sheetId="13" r:id="rId13"/>
    <sheet name="2007" sheetId="19" r:id="rId14"/>
    <sheet name="2008" sheetId="20" r:id="rId15"/>
    <sheet name="2009" sheetId="21" r:id="rId16"/>
    <sheet name="2010" sheetId="22" r:id="rId17"/>
    <sheet name="2011" sheetId="23" r:id="rId18"/>
    <sheet name="2012" sheetId="24" r:id="rId19"/>
    <sheet name="2013" sheetId="25" r:id="rId20"/>
    <sheet name="2014" sheetId="26" r:id="rId21"/>
    <sheet name="2015" sheetId="27" r:id="rId22"/>
    <sheet name="2016" sheetId="29" r:id="rId23"/>
    <sheet name="2017" sheetId="30" r:id="rId24"/>
    <sheet name="2018" sheetId="31" r:id="rId25"/>
    <sheet name="2019" sheetId="32" r:id="rId26"/>
  </sheets>
  <externalReferences>
    <externalReference r:id="rId27"/>
    <externalReference r:id="rId28"/>
  </externalReferences>
  <definedNames>
    <definedName name="_xlnm._FilterDatabase" localSheetId="16" hidden="1">'2010'!$B$9:$B$45</definedName>
    <definedName name="_xlnm._FilterDatabase" localSheetId="18" hidden="1">'2012'!$AD$9:$AD$60</definedName>
    <definedName name="_xlnm._FilterDatabase" localSheetId="19" hidden="1">'2013'!#REF!</definedName>
    <definedName name="_xlnm._FilterDatabase" localSheetId="20" hidden="1">'2014'!#REF!</definedName>
    <definedName name="_xlnm._FilterDatabase" localSheetId="22" hidden="1">'2016'!$A$9:$BI$60</definedName>
    <definedName name="_xlnm._FilterDatabase" localSheetId="23" hidden="1">'2017'!$B$10:$BP$69</definedName>
    <definedName name="_xlnm._FilterDatabase" localSheetId="24" hidden="1">'2018'!$A$10:$BQ$47</definedName>
    <definedName name="_xlnm._FilterDatabase" localSheetId="25" hidden="1">'2019'!$A$10:$BZ$10</definedName>
    <definedName name="_xlnm.Print_Area" localSheetId="15">'2009'!$B$10:$Z$50</definedName>
    <definedName name="_xlnm.Print_Area" localSheetId="21">'2015'!$B$9:$BO$59</definedName>
    <definedName name="_xlnm.Print_Area" localSheetId="22">'2016'!$B$9:$BH$51</definedName>
    <definedName name="_xlnm.Print_Area" localSheetId="23">'2017'!$B$9:$BO$52</definedName>
    <definedName name="_xlnm.Print_Area" localSheetId="24">'2018'!$B$9:$BP$52</definedName>
    <definedName name="_xlnm.Print_Area" localSheetId="25">'2019'!$B$8:$BX$52</definedName>
    <definedName name="_xlnm.Print_Titles" localSheetId="16">'2010'!$B:$C</definedName>
    <definedName name="_xlnm.Print_Titles" localSheetId="17">'2011'!$B:$B</definedName>
    <definedName name="_xlnm.Print_Titles" localSheetId="18">'2012'!$B:$B</definedName>
    <definedName name="_xlnm.Print_Titles" localSheetId="19">'2013'!$B:$B</definedName>
    <definedName name="_xlnm.Print_Titles" localSheetId="20">'2014'!$B:$B</definedName>
    <definedName name="_xlnm.Print_Titles" localSheetId="21">'2015'!$B:$B</definedName>
    <definedName name="_xlnm.Print_Titles" localSheetId="22">'2016'!$B:$B</definedName>
    <definedName name="_xlnm.Print_Titles" localSheetId="23">'2017'!$B:$B</definedName>
    <definedName name="_xlnm.Print_Titles" localSheetId="24">'2018'!$B:$B</definedName>
    <definedName name="_xlnm.Print_Titles" localSheetId="25">'2019'!$B:$B</definedName>
  </definedNames>
  <calcPr calcId="145621"/>
</workbook>
</file>

<file path=xl/calcChain.xml><?xml version="1.0" encoding="utf-8"?>
<calcChain xmlns="http://schemas.openxmlformats.org/spreadsheetml/2006/main">
  <c r="BB45" i="24" l="1"/>
  <c r="BB44" i="24"/>
  <c r="BB43" i="24"/>
  <c r="BB42" i="24"/>
  <c r="BB41" i="24"/>
  <c r="BB40" i="24"/>
  <c r="BB39" i="24"/>
  <c r="BB38" i="24"/>
  <c r="BB37" i="24"/>
  <c r="BB36" i="24"/>
  <c r="BB35" i="24"/>
  <c r="BB34" i="24"/>
  <c r="BB33" i="24"/>
  <c r="BB32" i="24"/>
  <c r="BB31" i="24"/>
  <c r="BB30" i="24"/>
  <c r="BB29" i="24"/>
  <c r="BB28" i="24"/>
  <c r="BB27" i="24"/>
  <c r="BB26" i="24"/>
  <c r="BB25" i="24"/>
  <c r="BB24" i="24"/>
  <c r="BB23" i="24"/>
  <c r="BB22" i="24"/>
  <c r="BB21" i="24"/>
  <c r="BB20" i="24"/>
  <c r="BB19" i="24"/>
  <c r="BB18" i="24"/>
  <c r="BB17" i="24"/>
  <c r="BB16" i="24"/>
  <c r="BB15" i="24"/>
  <c r="BB14" i="24"/>
  <c r="BB13" i="24"/>
  <c r="BB12" i="24"/>
  <c r="BB11" i="24"/>
  <c r="BB46" i="24"/>
  <c r="BA46" i="24"/>
  <c r="AZ46" i="24"/>
  <c r="BB10" i="24"/>
  <c r="P73" i="32" l="1"/>
  <c r="K86" i="32" s="1"/>
  <c r="BI60" i="32"/>
  <c r="BH60" i="32"/>
  <c r="BI59" i="32"/>
  <c r="BH59" i="32"/>
  <c r="BI58" i="32"/>
  <c r="BH58" i="32"/>
  <c r="BI57" i="32"/>
  <c r="BH57" i="32"/>
  <c r="BI56" i="32"/>
  <c r="BH56" i="32"/>
  <c r="BI55" i="32"/>
  <c r="BH55" i="32"/>
  <c r="BH54" i="32"/>
  <c r="D51" i="32"/>
  <c r="BL49" i="32"/>
  <c r="BU47" i="32"/>
  <c r="BW47" i="32"/>
  <c r="BR47" i="32"/>
  <c r="BP47" i="32"/>
  <c r="BN47" i="32"/>
  <c r="BI47" i="32"/>
  <c r="BG47" i="32"/>
  <c r="BE47" i="32"/>
  <c r="BC47" i="32"/>
  <c r="AL47" i="32"/>
  <c r="AJ47" i="32"/>
  <c r="AZ47" i="32"/>
  <c r="AG47" i="32"/>
  <c r="AE47" i="32"/>
  <c r="AC47" i="32"/>
  <c r="AA47" i="32"/>
  <c r="Y47" i="32"/>
  <c r="W47" i="32"/>
  <c r="S47" i="32"/>
  <c r="Q47" i="32"/>
  <c r="O47" i="32"/>
  <c r="M47" i="32"/>
  <c r="K47" i="32"/>
  <c r="I47" i="32"/>
  <c r="G47" i="32"/>
  <c r="BW46" i="32"/>
  <c r="BR46" i="32"/>
  <c r="BP46" i="32"/>
  <c r="BN46" i="32"/>
  <c r="BI46" i="32"/>
  <c r="BG46" i="32"/>
  <c r="BE46" i="32"/>
  <c r="BC46" i="32"/>
  <c r="AZ46" i="32"/>
  <c r="AG46" i="32"/>
  <c r="AE46" i="32"/>
  <c r="AC46" i="32"/>
  <c r="AA46" i="32"/>
  <c r="Y46" i="32"/>
  <c r="W46" i="32"/>
  <c r="S46" i="32"/>
  <c r="Q46" i="32"/>
  <c r="O46" i="32"/>
  <c r="M46" i="32"/>
  <c r="K46" i="32"/>
  <c r="I46" i="32"/>
  <c r="G46" i="32"/>
  <c r="BW45" i="32"/>
  <c r="BR45" i="32"/>
  <c r="BP45" i="32"/>
  <c r="BN45" i="32"/>
  <c r="BI45" i="32"/>
  <c r="BG45" i="32"/>
  <c r="BE45" i="32"/>
  <c r="BC45" i="32"/>
  <c r="AZ45" i="32"/>
  <c r="AG45" i="32"/>
  <c r="AE45" i="32"/>
  <c r="AC45" i="32"/>
  <c r="AA45" i="32"/>
  <c r="Y45" i="32"/>
  <c r="W45" i="32"/>
  <c r="S45" i="32"/>
  <c r="Q45" i="32"/>
  <c r="O45" i="32"/>
  <c r="M45" i="32"/>
  <c r="K45" i="32"/>
  <c r="I45" i="32"/>
  <c r="G45" i="32"/>
  <c r="BW44" i="32"/>
  <c r="BR44" i="32"/>
  <c r="BP44" i="32"/>
  <c r="BN44" i="32"/>
  <c r="BI44" i="32"/>
  <c r="BG44" i="32"/>
  <c r="BE44" i="32"/>
  <c r="BC44" i="32"/>
  <c r="AI67" i="32"/>
  <c r="AH67" i="32"/>
  <c r="AG44" i="32"/>
  <c r="AE44" i="32"/>
  <c r="AC44" i="32"/>
  <c r="AA44" i="32"/>
  <c r="Y44" i="32"/>
  <c r="W44" i="32"/>
  <c r="U44" i="32"/>
  <c r="S44" i="32"/>
  <c r="Q44" i="32"/>
  <c r="O44" i="32"/>
  <c r="M44" i="32"/>
  <c r="K44" i="32"/>
  <c r="I44" i="32"/>
  <c r="G44" i="32"/>
  <c r="BW43" i="32"/>
  <c r="BR43" i="32"/>
  <c r="BP43" i="32"/>
  <c r="BN43" i="32"/>
  <c r="BI43" i="32"/>
  <c r="BG43" i="32"/>
  <c r="BE43" i="32"/>
  <c r="BC43" i="32"/>
  <c r="AZ43" i="32"/>
  <c r="AG43" i="32"/>
  <c r="AE43" i="32"/>
  <c r="AC43" i="32"/>
  <c r="AA43" i="32"/>
  <c r="Y43" i="32"/>
  <c r="W43" i="32"/>
  <c r="U43" i="32"/>
  <c r="S43" i="32"/>
  <c r="Q43" i="32"/>
  <c r="O43" i="32"/>
  <c r="M43" i="32"/>
  <c r="K43" i="32"/>
  <c r="I43" i="32"/>
  <c r="G43" i="32"/>
  <c r="BW42" i="32"/>
  <c r="BR42" i="32"/>
  <c r="BP42" i="32"/>
  <c r="BN42" i="32"/>
  <c r="BI42" i="32"/>
  <c r="BG42" i="32"/>
  <c r="BE42" i="32"/>
  <c r="BC42" i="32"/>
  <c r="AZ42" i="32"/>
  <c r="AG42" i="32"/>
  <c r="AE42" i="32"/>
  <c r="AC42" i="32"/>
  <c r="AA42" i="32"/>
  <c r="Y42" i="32"/>
  <c r="W42" i="32"/>
  <c r="U42" i="32"/>
  <c r="S42" i="32"/>
  <c r="Q42" i="32"/>
  <c r="O42" i="32"/>
  <c r="M42" i="32"/>
  <c r="K42" i="32"/>
  <c r="I42" i="32"/>
  <c r="G42" i="32"/>
  <c r="BW41" i="32"/>
  <c r="BR41" i="32"/>
  <c r="BP41" i="32"/>
  <c r="BN41" i="32"/>
  <c r="BI41" i="32"/>
  <c r="BG41" i="32"/>
  <c r="BE41" i="32"/>
  <c r="BC41" i="32"/>
  <c r="AZ41" i="32"/>
  <c r="AG41" i="32"/>
  <c r="AE41" i="32"/>
  <c r="AC41" i="32"/>
  <c r="AA41" i="32"/>
  <c r="Y41" i="32"/>
  <c r="W41" i="32"/>
  <c r="U41" i="32"/>
  <c r="S41" i="32"/>
  <c r="Q41" i="32"/>
  <c r="O41" i="32"/>
  <c r="M41" i="32"/>
  <c r="K41" i="32"/>
  <c r="I41" i="32"/>
  <c r="G41" i="32"/>
  <c r="BW40" i="32"/>
  <c r="BN40" i="32"/>
  <c r="BE40" i="32"/>
  <c r="BC40" i="32"/>
  <c r="AZ40" i="32"/>
  <c r="AX40" i="32"/>
  <c r="AT40" i="32"/>
  <c r="AR40" i="32"/>
  <c r="AP40" i="32"/>
  <c r="AN40" i="32"/>
  <c r="AL40" i="32"/>
  <c r="AJ40" i="32"/>
  <c r="U40" i="32"/>
  <c r="S40" i="32"/>
  <c r="Q40" i="32"/>
  <c r="O40" i="32"/>
  <c r="M40" i="32"/>
  <c r="K40" i="32"/>
  <c r="I40" i="32"/>
  <c r="G40" i="32"/>
  <c r="AG40" i="32"/>
  <c r="BW39" i="32"/>
  <c r="BR39" i="32"/>
  <c r="BP39" i="32"/>
  <c r="BN39" i="32"/>
  <c r="BI39" i="32"/>
  <c r="BG39" i="32"/>
  <c r="BE39" i="32"/>
  <c r="BC39" i="32"/>
  <c r="AZ39" i="32"/>
  <c r="AG39" i="32"/>
  <c r="AE39" i="32"/>
  <c r="AC39" i="32"/>
  <c r="AA39" i="32"/>
  <c r="Y39" i="32"/>
  <c r="W39" i="32"/>
  <c r="U39" i="32"/>
  <c r="S39" i="32"/>
  <c r="Q39" i="32"/>
  <c r="O39" i="32"/>
  <c r="M39" i="32"/>
  <c r="K39" i="32"/>
  <c r="I39" i="32"/>
  <c r="G39" i="32"/>
  <c r="BW38" i="32"/>
  <c r="BR38" i="32"/>
  <c r="BP38" i="32"/>
  <c r="BN38" i="32"/>
  <c r="BI38" i="32"/>
  <c r="BG38" i="32"/>
  <c r="BE38" i="32"/>
  <c r="BC38" i="32"/>
  <c r="AZ38" i="32"/>
  <c r="AG38" i="32"/>
  <c r="AE38" i="32"/>
  <c r="AC38" i="32"/>
  <c r="AA38" i="32"/>
  <c r="Y38" i="32"/>
  <c r="W38" i="32"/>
  <c r="U38" i="32"/>
  <c r="S38" i="32"/>
  <c r="Q38" i="32"/>
  <c r="O38" i="32"/>
  <c r="M38" i="32"/>
  <c r="K38" i="32"/>
  <c r="I38" i="32"/>
  <c r="G38" i="32"/>
  <c r="BW37" i="32"/>
  <c r="BR37" i="32"/>
  <c r="BP37" i="32"/>
  <c r="BN37" i="32"/>
  <c r="BI37" i="32"/>
  <c r="BG37" i="32"/>
  <c r="BE37" i="32"/>
  <c r="BC37" i="32"/>
  <c r="AZ37" i="32"/>
  <c r="AG37" i="32"/>
  <c r="AE37" i="32"/>
  <c r="AC37" i="32"/>
  <c r="AA37" i="32"/>
  <c r="Y37" i="32"/>
  <c r="W37" i="32"/>
  <c r="S37" i="32"/>
  <c r="Q37" i="32"/>
  <c r="O37" i="32"/>
  <c r="M37" i="32"/>
  <c r="K37" i="32"/>
  <c r="I37" i="32"/>
  <c r="G37" i="32"/>
  <c r="BW36" i="32"/>
  <c r="BR36" i="32"/>
  <c r="BP36" i="32"/>
  <c r="BN36" i="32"/>
  <c r="BI36" i="32"/>
  <c r="BG36" i="32"/>
  <c r="BE36" i="32"/>
  <c r="BC36" i="32"/>
  <c r="AZ36" i="32"/>
  <c r="AG36" i="32"/>
  <c r="AE36" i="32"/>
  <c r="AC36" i="32"/>
  <c r="AA36" i="32"/>
  <c r="Y36" i="32"/>
  <c r="W36" i="32"/>
  <c r="U36" i="32"/>
  <c r="S36" i="32"/>
  <c r="Q36" i="32"/>
  <c r="O36" i="32"/>
  <c r="M36" i="32"/>
  <c r="K36" i="32"/>
  <c r="I36" i="32"/>
  <c r="G36" i="32"/>
  <c r="BW35" i="32"/>
  <c r="BR35" i="32"/>
  <c r="BP35" i="32"/>
  <c r="BN35" i="32"/>
  <c r="BI35" i="32"/>
  <c r="BG35" i="32"/>
  <c r="BE35" i="32"/>
  <c r="BC35" i="32"/>
  <c r="AZ35" i="32"/>
  <c r="AG35" i="32"/>
  <c r="AE35" i="32"/>
  <c r="AC35" i="32"/>
  <c r="Z53" i="32"/>
  <c r="Y35" i="32"/>
  <c r="W35" i="32"/>
  <c r="S35" i="32"/>
  <c r="Q35" i="32"/>
  <c r="O35" i="32"/>
  <c r="M35" i="32"/>
  <c r="K35" i="32"/>
  <c r="I35" i="32"/>
  <c r="G35" i="32"/>
  <c r="BW34" i="32"/>
  <c r="BR34" i="32"/>
  <c r="BP34" i="32"/>
  <c r="BN34" i="32"/>
  <c r="BI34" i="32"/>
  <c r="BG34" i="32"/>
  <c r="BE34" i="32"/>
  <c r="BC34" i="32"/>
  <c r="AZ34" i="32"/>
  <c r="AG34" i="32"/>
  <c r="AE34" i="32"/>
  <c r="AC34" i="32"/>
  <c r="AA34" i="32"/>
  <c r="Y34" i="32"/>
  <c r="W34" i="32"/>
  <c r="S34" i="32"/>
  <c r="Q34" i="32"/>
  <c r="O34" i="32"/>
  <c r="M34" i="32"/>
  <c r="K34" i="32"/>
  <c r="I34" i="32"/>
  <c r="G34" i="32"/>
  <c r="BW33" i="32"/>
  <c r="BR33" i="32"/>
  <c r="BP33" i="32"/>
  <c r="BN33" i="32"/>
  <c r="BI33" i="32"/>
  <c r="BG33" i="32"/>
  <c r="BE33" i="32"/>
  <c r="BC33" i="32"/>
  <c r="AZ33" i="32"/>
  <c r="AG33" i="32"/>
  <c r="AE33" i="32"/>
  <c r="AC33" i="32"/>
  <c r="AA33" i="32"/>
  <c r="Y33" i="32"/>
  <c r="W33" i="32"/>
  <c r="U33" i="32"/>
  <c r="S33" i="32"/>
  <c r="Q33" i="32"/>
  <c r="O33" i="32"/>
  <c r="M33" i="32"/>
  <c r="K33" i="32"/>
  <c r="I33" i="32"/>
  <c r="G33" i="32"/>
  <c r="BW32" i="32"/>
  <c r="BR32" i="32"/>
  <c r="BP32" i="32"/>
  <c r="BN32" i="32"/>
  <c r="BI32" i="32"/>
  <c r="BG32" i="32"/>
  <c r="BE32" i="32"/>
  <c r="BC32" i="32"/>
  <c r="AI66" i="32"/>
  <c r="AH66" i="32"/>
  <c r="AG32" i="32"/>
  <c r="AE32" i="32"/>
  <c r="AC32" i="32"/>
  <c r="AA32" i="32"/>
  <c r="Y32" i="32"/>
  <c r="W32" i="32"/>
  <c r="S32" i="32"/>
  <c r="Q32" i="32"/>
  <c r="O32" i="32"/>
  <c r="M32" i="32"/>
  <c r="K32" i="32"/>
  <c r="I32" i="32"/>
  <c r="G32" i="32"/>
  <c r="BW31" i="32"/>
  <c r="BR31" i="32"/>
  <c r="BP31" i="32"/>
  <c r="BN31" i="32"/>
  <c r="BI31" i="32"/>
  <c r="BG31" i="32"/>
  <c r="BE31" i="32"/>
  <c r="BC31" i="32"/>
  <c r="AZ31" i="32"/>
  <c r="AG31" i="32"/>
  <c r="AE31" i="32"/>
  <c r="AC31" i="32"/>
  <c r="AA31" i="32"/>
  <c r="Y31" i="32"/>
  <c r="W31" i="32"/>
  <c r="U31" i="32"/>
  <c r="S31" i="32"/>
  <c r="Q31" i="32"/>
  <c r="O31" i="32"/>
  <c r="M31" i="32"/>
  <c r="K31" i="32"/>
  <c r="I31" i="32"/>
  <c r="G31" i="32"/>
  <c r="BW30" i="32"/>
  <c r="BR30" i="32"/>
  <c r="BP30" i="32"/>
  <c r="BN30" i="32"/>
  <c r="BI30" i="32"/>
  <c r="BG30" i="32"/>
  <c r="BE30" i="32"/>
  <c r="BC30" i="32"/>
  <c r="AZ30" i="32"/>
  <c r="AG30" i="32"/>
  <c r="AE30" i="32"/>
  <c r="AC30" i="32"/>
  <c r="AA30" i="32"/>
  <c r="Y30" i="32"/>
  <c r="W30" i="32"/>
  <c r="U30" i="32"/>
  <c r="S30" i="32"/>
  <c r="Q30" i="32"/>
  <c r="O30" i="32"/>
  <c r="M30" i="32"/>
  <c r="K30" i="32"/>
  <c r="I30" i="32"/>
  <c r="G30" i="32"/>
  <c r="BW29" i="32"/>
  <c r="BR29" i="32"/>
  <c r="BP29" i="32"/>
  <c r="BN29" i="32"/>
  <c r="BI29" i="32"/>
  <c r="BG29" i="32"/>
  <c r="BE29" i="32"/>
  <c r="BC29" i="32"/>
  <c r="AZ29" i="32"/>
  <c r="AG29" i="32"/>
  <c r="AE29" i="32"/>
  <c r="AC29" i="32"/>
  <c r="AA29" i="32"/>
  <c r="Y29" i="32"/>
  <c r="W29" i="32"/>
  <c r="S29" i="32"/>
  <c r="Q29" i="32"/>
  <c r="O29" i="32"/>
  <c r="M29" i="32"/>
  <c r="K29" i="32"/>
  <c r="I29" i="32"/>
  <c r="G29" i="32"/>
  <c r="BW28" i="32"/>
  <c r="BR28" i="32"/>
  <c r="BP28" i="32"/>
  <c r="BN28" i="32"/>
  <c r="BI28" i="32"/>
  <c r="BG28" i="32"/>
  <c r="BE28" i="32"/>
  <c r="BC28" i="32"/>
  <c r="AZ28" i="32"/>
  <c r="AG28" i="32"/>
  <c r="AE28" i="32"/>
  <c r="AC28" i="32"/>
  <c r="AA28" i="32"/>
  <c r="Y28" i="32"/>
  <c r="W28" i="32"/>
  <c r="S28" i="32"/>
  <c r="Q28" i="32"/>
  <c r="O28" i="32"/>
  <c r="M28" i="32"/>
  <c r="K28" i="32"/>
  <c r="I28" i="32"/>
  <c r="G28" i="32"/>
  <c r="BW27" i="32"/>
  <c r="BR27" i="32"/>
  <c r="BP27" i="32"/>
  <c r="BN27" i="32"/>
  <c r="BI27" i="32"/>
  <c r="BG27" i="32"/>
  <c r="BE27" i="32"/>
  <c r="BC27" i="32"/>
  <c r="AZ27" i="32"/>
  <c r="AG27" i="32"/>
  <c r="AE27" i="32"/>
  <c r="AC27" i="32"/>
  <c r="AA27" i="32"/>
  <c r="Y27" i="32"/>
  <c r="W27" i="32"/>
  <c r="U27" i="32"/>
  <c r="S27" i="32"/>
  <c r="Q27" i="32"/>
  <c r="O27" i="32"/>
  <c r="M27" i="32"/>
  <c r="K27" i="32"/>
  <c r="I27" i="32"/>
  <c r="G27" i="32"/>
  <c r="BW26" i="32"/>
  <c r="BU26" i="32"/>
  <c r="BN26" i="32"/>
  <c r="BI26" i="32"/>
  <c r="BG26" i="32"/>
  <c r="BE26" i="32"/>
  <c r="BC26" i="32"/>
  <c r="AR26" i="32"/>
  <c r="AP26" i="32"/>
  <c r="AN26" i="32"/>
  <c r="AL26" i="32"/>
  <c r="AJ26" i="32"/>
  <c r="AZ26" i="32"/>
  <c r="AA26" i="32"/>
  <c r="Y26" i="32"/>
  <c r="W26" i="32"/>
  <c r="U26" i="32"/>
  <c r="S26" i="32"/>
  <c r="Q26" i="32"/>
  <c r="O26" i="32"/>
  <c r="M26" i="32"/>
  <c r="K26" i="32"/>
  <c r="I26" i="32"/>
  <c r="G26" i="32"/>
  <c r="BR26" i="32"/>
  <c r="BW25" i="32"/>
  <c r="BR25" i="32"/>
  <c r="BP25" i="32"/>
  <c r="BN25" i="32"/>
  <c r="BI25" i="32"/>
  <c r="BG25" i="32"/>
  <c r="BE25" i="32"/>
  <c r="BC25" i="32"/>
  <c r="AZ25" i="32"/>
  <c r="AG25" i="32"/>
  <c r="AE25" i="32"/>
  <c r="AC25" i="32"/>
  <c r="AA25" i="32"/>
  <c r="Y25" i="32"/>
  <c r="W25" i="32"/>
  <c r="S25" i="32"/>
  <c r="Q25" i="32"/>
  <c r="O25" i="32"/>
  <c r="M25" i="32"/>
  <c r="K25" i="32"/>
  <c r="I25" i="32"/>
  <c r="G25" i="32"/>
  <c r="BW24" i="32"/>
  <c r="BR24" i="32"/>
  <c r="BP24" i="32"/>
  <c r="BN24" i="32"/>
  <c r="BI24" i="32"/>
  <c r="BG24" i="32"/>
  <c r="BE24" i="32"/>
  <c r="BC24" i="32"/>
  <c r="AZ24" i="32"/>
  <c r="AG24" i="32"/>
  <c r="AE24" i="32"/>
  <c r="AC24" i="32"/>
  <c r="AA24" i="32"/>
  <c r="Y24" i="32"/>
  <c r="W24" i="32"/>
  <c r="U24" i="32"/>
  <c r="S24" i="32"/>
  <c r="Q24" i="32"/>
  <c r="O24" i="32"/>
  <c r="M24" i="32"/>
  <c r="K24" i="32"/>
  <c r="I24" i="32"/>
  <c r="G24" i="32"/>
  <c r="BW23" i="32"/>
  <c r="BR23" i="32"/>
  <c r="BP23" i="32"/>
  <c r="BN23" i="32"/>
  <c r="BI23" i="32"/>
  <c r="BG23" i="32"/>
  <c r="BE23" i="32"/>
  <c r="BC23" i="32"/>
  <c r="AZ23" i="32"/>
  <c r="AG23" i="32"/>
  <c r="AE23" i="32"/>
  <c r="AC23" i="32"/>
  <c r="AA23" i="32"/>
  <c r="Y23" i="32"/>
  <c r="W23" i="32"/>
  <c r="S23" i="32"/>
  <c r="Q23" i="32"/>
  <c r="O23" i="32"/>
  <c r="M23" i="32"/>
  <c r="K23" i="32"/>
  <c r="I23" i="32"/>
  <c r="G23" i="32"/>
  <c r="BW22" i="32"/>
  <c r="BR22" i="32"/>
  <c r="BP22" i="32"/>
  <c r="BN22" i="32"/>
  <c r="BI22" i="32"/>
  <c r="BG22" i="32"/>
  <c r="BE22" i="32"/>
  <c r="BC22" i="32"/>
  <c r="AZ22" i="32"/>
  <c r="AG22" i="32"/>
  <c r="AE22" i="32"/>
  <c r="AC22" i="32"/>
  <c r="AA22" i="32"/>
  <c r="Y22" i="32"/>
  <c r="W22" i="32"/>
  <c r="S22" i="32"/>
  <c r="Q22" i="32"/>
  <c r="O22" i="32"/>
  <c r="M22" i="32"/>
  <c r="K22" i="32"/>
  <c r="I22" i="32"/>
  <c r="G22" i="32"/>
  <c r="BW21" i="32"/>
  <c r="BR21" i="32"/>
  <c r="BP21" i="32"/>
  <c r="BN21" i="32"/>
  <c r="BI21" i="32"/>
  <c r="BG21" i="32"/>
  <c r="BE21" i="32"/>
  <c r="BC21" i="32"/>
  <c r="AZ21" i="32"/>
  <c r="AG21" i="32"/>
  <c r="AE21" i="32"/>
  <c r="AC21" i="32"/>
  <c r="AA21" i="32"/>
  <c r="Y21" i="32"/>
  <c r="W21" i="32"/>
  <c r="S21" i="32"/>
  <c r="Q21" i="32"/>
  <c r="O21" i="32"/>
  <c r="M21" i="32"/>
  <c r="K21" i="32"/>
  <c r="I21" i="32"/>
  <c r="G21" i="32"/>
  <c r="BW20" i="32"/>
  <c r="BU20" i="32"/>
  <c r="BP20" i="32"/>
  <c r="BN20" i="32"/>
  <c r="BI20" i="32"/>
  <c r="BG20" i="32"/>
  <c r="BE20" i="32"/>
  <c r="BC20" i="32"/>
  <c r="AR20" i="32"/>
  <c r="AP20" i="32"/>
  <c r="AN20" i="32"/>
  <c r="AL20" i="32"/>
  <c r="AJ20" i="32"/>
  <c r="AZ20" i="32"/>
  <c r="AC20" i="32"/>
  <c r="AA20" i="32"/>
  <c r="Y20" i="32"/>
  <c r="W20" i="32"/>
  <c r="U20" i="32"/>
  <c r="S20" i="32"/>
  <c r="Q20" i="32"/>
  <c r="O20" i="32"/>
  <c r="M20" i="32"/>
  <c r="K20" i="32"/>
  <c r="I20" i="32"/>
  <c r="G20" i="32"/>
  <c r="BR20" i="32"/>
  <c r="BW19" i="32"/>
  <c r="BR19" i="32"/>
  <c r="BP19" i="32"/>
  <c r="BN19" i="32"/>
  <c r="BI19" i="32"/>
  <c r="BG19" i="32"/>
  <c r="BE19" i="32"/>
  <c r="BC19" i="32"/>
  <c r="AZ19" i="32"/>
  <c r="AG19" i="32"/>
  <c r="AE19" i="32"/>
  <c r="AC19" i="32"/>
  <c r="AA19" i="32"/>
  <c r="Y19" i="32"/>
  <c r="W19" i="32"/>
  <c r="U19" i="32"/>
  <c r="S19" i="32"/>
  <c r="Q19" i="32"/>
  <c r="O19" i="32"/>
  <c r="M19" i="32"/>
  <c r="K19" i="32"/>
  <c r="I19" i="32"/>
  <c r="G19" i="32"/>
  <c r="BW18" i="32"/>
  <c r="BR18" i="32"/>
  <c r="BP18" i="32"/>
  <c r="BN18" i="32"/>
  <c r="BI18" i="32"/>
  <c r="BG18" i="32"/>
  <c r="BE18" i="32"/>
  <c r="BC18" i="32"/>
  <c r="AZ18" i="32"/>
  <c r="AG18" i="32"/>
  <c r="AE18" i="32"/>
  <c r="AC18" i="32"/>
  <c r="AA18" i="32"/>
  <c r="Y18" i="32"/>
  <c r="W18" i="32"/>
  <c r="U18" i="32"/>
  <c r="S18" i="32"/>
  <c r="Q18" i="32"/>
  <c r="O18" i="32"/>
  <c r="M18" i="32"/>
  <c r="K18" i="32"/>
  <c r="I18" i="32"/>
  <c r="G18" i="32"/>
  <c r="BW17" i="32"/>
  <c r="BR17" i="32"/>
  <c r="BP17" i="32"/>
  <c r="BN17" i="32"/>
  <c r="BI17" i="32"/>
  <c r="BG17" i="32"/>
  <c r="BE17" i="32"/>
  <c r="BC17" i="32"/>
  <c r="AI65" i="32"/>
  <c r="AH65" i="32"/>
  <c r="AG17" i="32"/>
  <c r="AE17" i="32"/>
  <c r="AC17" i="32"/>
  <c r="AA17" i="32"/>
  <c r="Y17" i="32"/>
  <c r="W17" i="32"/>
  <c r="S17" i="32"/>
  <c r="Q17" i="32"/>
  <c r="O17" i="32"/>
  <c r="M17" i="32"/>
  <c r="K17" i="32"/>
  <c r="I17" i="32"/>
  <c r="G17" i="32"/>
  <c r="BW16" i="32"/>
  <c r="BR16" i="32"/>
  <c r="BP16" i="32"/>
  <c r="BN16" i="32"/>
  <c r="BI16" i="32"/>
  <c r="BG16" i="32"/>
  <c r="BE16" i="32"/>
  <c r="BC16" i="32"/>
  <c r="AZ16" i="32"/>
  <c r="AG16" i="32"/>
  <c r="AE16" i="32"/>
  <c r="AC16" i="32"/>
  <c r="AA16" i="32"/>
  <c r="Y16" i="32"/>
  <c r="W16" i="32"/>
  <c r="U16" i="32"/>
  <c r="S16" i="32"/>
  <c r="Q16" i="32"/>
  <c r="O16" i="32"/>
  <c r="M16" i="32"/>
  <c r="K16" i="32"/>
  <c r="I16" i="32"/>
  <c r="G16" i="32"/>
  <c r="BW15" i="32"/>
  <c r="BR15" i="32"/>
  <c r="BP15" i="32"/>
  <c r="BN15" i="32"/>
  <c r="BI15" i="32"/>
  <c r="BG15" i="32"/>
  <c r="BE15" i="32"/>
  <c r="BC15" i="32"/>
  <c r="AZ15" i="32"/>
  <c r="AG15" i="32"/>
  <c r="AE15" i="32"/>
  <c r="AC15" i="32"/>
  <c r="AA15" i="32"/>
  <c r="Y15" i="32"/>
  <c r="W15" i="32"/>
  <c r="U15" i="32"/>
  <c r="S15" i="32"/>
  <c r="Q15" i="32"/>
  <c r="O15" i="32"/>
  <c r="M15" i="32"/>
  <c r="K15" i="32"/>
  <c r="I15" i="32"/>
  <c r="G15" i="32"/>
  <c r="BW14" i="32"/>
  <c r="BR14" i="32"/>
  <c r="BP14" i="32"/>
  <c r="BN14" i="32"/>
  <c r="BI14" i="32"/>
  <c r="BG14" i="32"/>
  <c r="BE14" i="32"/>
  <c r="BC14" i="32"/>
  <c r="AI64" i="32"/>
  <c r="AH64" i="32"/>
  <c r="AG14" i="32"/>
  <c r="AE14" i="32"/>
  <c r="AC14" i="32"/>
  <c r="AA14" i="32"/>
  <c r="Y14" i="32"/>
  <c r="W14" i="32"/>
  <c r="S14" i="32"/>
  <c r="Q14" i="32"/>
  <c r="O14" i="32"/>
  <c r="M14" i="32"/>
  <c r="K14" i="32"/>
  <c r="I14" i="32"/>
  <c r="G14" i="32"/>
  <c r="BW13" i="32"/>
  <c r="BR13" i="32"/>
  <c r="BP13" i="32"/>
  <c r="BN13" i="32"/>
  <c r="BI13" i="32"/>
  <c r="BG13" i="32"/>
  <c r="BE13" i="32"/>
  <c r="BC13" i="32"/>
  <c r="AZ13" i="32"/>
  <c r="AG13" i="32"/>
  <c r="AE13" i="32"/>
  <c r="AC13" i="32"/>
  <c r="AA13" i="32"/>
  <c r="Y13" i="32"/>
  <c r="W13" i="32"/>
  <c r="S13" i="32"/>
  <c r="Q13" i="32"/>
  <c r="O13" i="32"/>
  <c r="M13" i="32"/>
  <c r="K13" i="32"/>
  <c r="I13" i="32"/>
  <c r="G13" i="32"/>
  <c r="BW12" i="32"/>
  <c r="BR12" i="32"/>
  <c r="BP12" i="32"/>
  <c r="BN12" i="32"/>
  <c r="BI12" i="32"/>
  <c r="BG12" i="32"/>
  <c r="BE12" i="32"/>
  <c r="BC12" i="32"/>
  <c r="AT12" i="32"/>
  <c r="AG12" i="32"/>
  <c r="AE12" i="32"/>
  <c r="AC12" i="32"/>
  <c r="AA12" i="32"/>
  <c r="Y12" i="32"/>
  <c r="W12" i="32"/>
  <c r="U12" i="32"/>
  <c r="S12" i="32"/>
  <c r="Q12" i="32"/>
  <c r="O12" i="32"/>
  <c r="M12" i="32"/>
  <c r="K12" i="32"/>
  <c r="I12" i="32"/>
  <c r="G12" i="32"/>
  <c r="BS49" i="32"/>
  <c r="BM49" i="32"/>
  <c r="BN49" i="32" s="1"/>
  <c r="BH49" i="32"/>
  <c r="AZ11" i="32"/>
  <c r="BN52" i="32" l="1"/>
  <c r="F76" i="32"/>
  <c r="F49" i="32"/>
  <c r="J76" i="32"/>
  <c r="J49" i="32"/>
  <c r="N76" i="32"/>
  <c r="N49" i="32"/>
  <c r="R76" i="32"/>
  <c r="R49" i="32"/>
  <c r="X49" i="32"/>
  <c r="X76" i="32"/>
  <c r="AB49" i="32"/>
  <c r="AB76" i="32"/>
  <c r="AF76" i="32"/>
  <c r="AF49" i="32"/>
  <c r="AV76" i="32"/>
  <c r="AV49" i="32"/>
  <c r="AX11" i="32"/>
  <c r="BD76" i="32"/>
  <c r="BD49" i="32"/>
  <c r="BQ76" i="32"/>
  <c r="BQ49" i="32"/>
  <c r="AX12" i="32"/>
  <c r="AZ12" i="32"/>
  <c r="AJ13" i="32"/>
  <c r="AL13" i="32"/>
  <c r="AN13" i="32"/>
  <c r="AP13" i="32"/>
  <c r="AR13" i="32"/>
  <c r="AT13" i="32"/>
  <c r="BU13" i="32"/>
  <c r="AJ14" i="32"/>
  <c r="AL14" i="32"/>
  <c r="AN14" i="32"/>
  <c r="AP14" i="32"/>
  <c r="AR14" i="32"/>
  <c r="AT14" i="32"/>
  <c r="BU14" i="32"/>
  <c r="AJ15" i="32"/>
  <c r="AL15" i="32"/>
  <c r="AN15" i="32"/>
  <c r="AP15" i="32"/>
  <c r="AR15" i="32"/>
  <c r="AT15" i="32"/>
  <c r="AX15" i="32"/>
  <c r="BU15" i="32"/>
  <c r="AJ16" i="32"/>
  <c r="AL16" i="32"/>
  <c r="AN16" i="32"/>
  <c r="AP16" i="32"/>
  <c r="AR16" i="32"/>
  <c r="AT16" i="32"/>
  <c r="AX16" i="32"/>
  <c r="BU16" i="32"/>
  <c r="AJ17" i="32"/>
  <c r="AL17" i="32"/>
  <c r="AN17" i="32"/>
  <c r="AP17" i="32"/>
  <c r="AR17" i="32"/>
  <c r="AT17" i="32"/>
  <c r="AX17" i="32"/>
  <c r="AZ17" i="32"/>
  <c r="BU17" i="32"/>
  <c r="AJ18" i="32"/>
  <c r="AL18" i="32"/>
  <c r="AN18" i="32"/>
  <c r="AP18" i="32"/>
  <c r="AR18" i="32"/>
  <c r="AT18" i="32"/>
  <c r="AX18" i="32"/>
  <c r="BU18" i="32"/>
  <c r="AJ19" i="32"/>
  <c r="AL19" i="32"/>
  <c r="AN19" i="32"/>
  <c r="AP19" i="32"/>
  <c r="AR19" i="32"/>
  <c r="AT19" i="32"/>
  <c r="AX19" i="32"/>
  <c r="BU19" i="32"/>
  <c r="AT20" i="32"/>
  <c r="AX20" i="32"/>
  <c r="AJ21" i="32"/>
  <c r="AL21" i="32"/>
  <c r="AN21" i="32"/>
  <c r="AP21" i="32"/>
  <c r="AR21" i="32"/>
  <c r="AT21" i="32"/>
  <c r="AX21" i="32"/>
  <c r="E22" i="32"/>
  <c r="U22" i="32"/>
  <c r="BU22" i="32"/>
  <c r="AJ23" i="32"/>
  <c r="AL23" i="32"/>
  <c r="AN23" i="32"/>
  <c r="AP23" i="32"/>
  <c r="AR23" i="32"/>
  <c r="AT23" i="32"/>
  <c r="AX23" i="32"/>
  <c r="D76" i="32"/>
  <c r="D49" i="32"/>
  <c r="H76" i="32"/>
  <c r="H49" i="32"/>
  <c r="L49" i="32"/>
  <c r="L76" i="32"/>
  <c r="P49" i="32"/>
  <c r="P76" i="32"/>
  <c r="T49" i="32"/>
  <c r="V76" i="32"/>
  <c r="V49" i="32"/>
  <c r="Z76" i="32"/>
  <c r="Z49" i="32"/>
  <c r="AD76" i="32"/>
  <c r="AD49" i="32"/>
  <c r="AH76" i="32"/>
  <c r="AH77" i="32"/>
  <c r="AH49" i="32"/>
  <c r="AJ11" i="32"/>
  <c r="AL11" i="32"/>
  <c r="AN11" i="32"/>
  <c r="AP11" i="32"/>
  <c r="AR11" i="32"/>
  <c r="AT11" i="32"/>
  <c r="BB76" i="32"/>
  <c r="BB49" i="32"/>
  <c r="BF76" i="32"/>
  <c r="BF49" i="32"/>
  <c r="BJ76" i="32"/>
  <c r="BJ49" i="32"/>
  <c r="BO76" i="32"/>
  <c r="BO49" i="32"/>
  <c r="BU11" i="32"/>
  <c r="BW11" i="32"/>
  <c r="AJ12" i="32"/>
  <c r="AL12" i="32"/>
  <c r="AN12" i="32"/>
  <c r="AP12" i="32"/>
  <c r="AR12" i="32"/>
  <c r="BU12" i="32"/>
  <c r="AX13" i="32"/>
  <c r="AX14" i="32"/>
  <c r="AZ14" i="32"/>
  <c r="C49" i="32"/>
  <c r="E11" i="32"/>
  <c r="G11" i="32"/>
  <c r="I11" i="32"/>
  <c r="K11" i="32"/>
  <c r="M11" i="32"/>
  <c r="O11" i="32"/>
  <c r="Q11" i="32"/>
  <c r="S11" i="32"/>
  <c r="U11" i="32"/>
  <c r="W11" i="32"/>
  <c r="Y11" i="32"/>
  <c r="AA11" i="32"/>
  <c r="AC11" i="32"/>
  <c r="AE11" i="32"/>
  <c r="AG11" i="32"/>
  <c r="AI77" i="32"/>
  <c r="AJ77" i="32" s="1"/>
  <c r="AI76" i="32"/>
  <c r="AI49" i="32"/>
  <c r="AK76" i="32"/>
  <c r="AK49" i="32"/>
  <c r="AL49" i="32" s="1"/>
  <c r="AM76" i="32"/>
  <c r="AM49" i="32"/>
  <c r="AN49" i="32" s="1"/>
  <c r="AO76" i="32"/>
  <c r="AO49" i="32"/>
  <c r="AP49" i="32" s="1"/>
  <c r="AQ76" i="32"/>
  <c r="AQ49" i="32"/>
  <c r="AR49" i="32" s="1"/>
  <c r="AS76" i="32"/>
  <c r="AS49" i="32"/>
  <c r="AT49" i="32" s="1"/>
  <c r="AU76" i="32"/>
  <c r="AU49" i="32"/>
  <c r="AW76" i="32"/>
  <c r="AW49" i="32"/>
  <c r="AX49" i="32" s="1"/>
  <c r="AY76" i="32"/>
  <c r="AY49" i="32"/>
  <c r="AZ49" i="32" s="1"/>
  <c r="BA76" i="32"/>
  <c r="BA49" i="32"/>
  <c r="BI49" i="32" s="1"/>
  <c r="BC11" i="32"/>
  <c r="BE11" i="32"/>
  <c r="BG11" i="32"/>
  <c r="BI11" i="32"/>
  <c r="BK76" i="32"/>
  <c r="BK49" i="32"/>
  <c r="BN11" i="32"/>
  <c r="BP11" i="32"/>
  <c r="BR11" i="32"/>
  <c r="BT76" i="32"/>
  <c r="BT49" i="32"/>
  <c r="BU49" i="32" s="1"/>
  <c r="BU52" i="32" s="1"/>
  <c r="BV76" i="32"/>
  <c r="BV49" i="32"/>
  <c r="BW49" i="32" s="1"/>
  <c r="E12" i="32"/>
  <c r="E13" i="32"/>
  <c r="U13" i="32"/>
  <c r="E14" i="32"/>
  <c r="U14" i="32"/>
  <c r="AJ64" i="32"/>
  <c r="E15" i="32"/>
  <c r="E16" i="32"/>
  <c r="E17" i="32"/>
  <c r="U17" i="32"/>
  <c r="AJ65" i="32"/>
  <c r="E18" i="32"/>
  <c r="E19" i="32"/>
  <c r="E20" i="32"/>
  <c r="AE20" i="32"/>
  <c r="AG20" i="32"/>
  <c r="E21" i="32"/>
  <c r="U21" i="32"/>
  <c r="BU21" i="32"/>
  <c r="AJ22" i="32"/>
  <c r="AL22" i="32"/>
  <c r="AN22" i="32"/>
  <c r="AP22" i="32"/>
  <c r="AR22" i="32"/>
  <c r="AT22" i="32"/>
  <c r="AX22" i="32"/>
  <c r="E23" i="32"/>
  <c r="U23" i="32"/>
  <c r="BU23" i="32"/>
  <c r="AJ24" i="32"/>
  <c r="AL24" i="32"/>
  <c r="AN24" i="32"/>
  <c r="AP24" i="32"/>
  <c r="AR24" i="32"/>
  <c r="AT24" i="32"/>
  <c r="AX24" i="32"/>
  <c r="BU24" i="32"/>
  <c r="AJ25" i="32"/>
  <c r="AL25" i="32"/>
  <c r="AN25" i="32"/>
  <c r="AP25" i="32"/>
  <c r="AR25" i="32"/>
  <c r="AT25" i="32"/>
  <c r="AX25" i="32"/>
  <c r="BU25" i="32"/>
  <c r="AT26" i="32"/>
  <c r="AX26" i="32"/>
  <c r="AJ27" i="32"/>
  <c r="AL27" i="32"/>
  <c r="AN27" i="32"/>
  <c r="AP27" i="32"/>
  <c r="AR27" i="32"/>
  <c r="AT27" i="32"/>
  <c r="AX27" i="32"/>
  <c r="E28" i="32"/>
  <c r="U28" i="32"/>
  <c r="BU28" i="32"/>
  <c r="AJ29" i="32"/>
  <c r="AL29" i="32"/>
  <c r="AN29" i="32"/>
  <c r="AP29" i="32"/>
  <c r="AR29" i="32"/>
  <c r="AT29" i="32"/>
  <c r="AX29" i="32"/>
  <c r="E30" i="32"/>
  <c r="BU30" i="32"/>
  <c r="AJ31" i="32"/>
  <c r="AL31" i="32"/>
  <c r="AN31" i="32"/>
  <c r="AP31" i="32"/>
  <c r="AR31" i="32"/>
  <c r="AT31" i="32"/>
  <c r="AX31" i="32"/>
  <c r="E32" i="32"/>
  <c r="U32" i="32"/>
  <c r="BU32" i="32"/>
  <c r="E24" i="32"/>
  <c r="E25" i="32"/>
  <c r="U25" i="32"/>
  <c r="E26" i="32"/>
  <c r="AC26" i="32"/>
  <c r="AE26" i="32"/>
  <c r="AG26" i="32"/>
  <c r="BP26" i="32"/>
  <c r="E27" i="32"/>
  <c r="BU27" i="32"/>
  <c r="AJ28" i="32"/>
  <c r="AL28" i="32"/>
  <c r="AN28" i="32"/>
  <c r="AP28" i="32"/>
  <c r="AR28" i="32"/>
  <c r="AT28" i="32"/>
  <c r="AX28" i="32"/>
  <c r="E29" i="32"/>
  <c r="U29" i="32"/>
  <c r="BU29" i="32"/>
  <c r="AJ30" i="32"/>
  <c r="AL30" i="32"/>
  <c r="AN30" i="32"/>
  <c r="AP30" i="32"/>
  <c r="AR30" i="32"/>
  <c r="AT30" i="32"/>
  <c r="AX30" i="32"/>
  <c r="E31" i="32"/>
  <c r="BU31" i="32"/>
  <c r="AJ32" i="32"/>
  <c r="AL32" i="32"/>
  <c r="AN32" i="32"/>
  <c r="AP32" i="32"/>
  <c r="AR32" i="32"/>
  <c r="AT32" i="32"/>
  <c r="AX32" i="32"/>
  <c r="AZ32" i="32"/>
  <c r="AJ66" i="32"/>
  <c r="E33" i="32"/>
  <c r="E34" i="32"/>
  <c r="U34" i="32"/>
  <c r="AA53" i="32"/>
  <c r="AB54" i="32" s="1"/>
  <c r="E35" i="32"/>
  <c r="U35" i="32"/>
  <c r="AA35" i="32"/>
  <c r="E36" i="32"/>
  <c r="E37" i="32"/>
  <c r="U37" i="32"/>
  <c r="E38" i="32"/>
  <c r="E39" i="32"/>
  <c r="E40" i="32"/>
  <c r="W40" i="32"/>
  <c r="Y40" i="32"/>
  <c r="AA40" i="32"/>
  <c r="AC40" i="32"/>
  <c r="AE40" i="32"/>
  <c r="BI40" i="32"/>
  <c r="BP40" i="32"/>
  <c r="BU40" i="32"/>
  <c r="AJ41" i="32"/>
  <c r="AL41" i="32"/>
  <c r="AN41" i="32"/>
  <c r="AP41" i="32"/>
  <c r="AR41" i="32"/>
  <c r="AT41" i="32"/>
  <c r="AX41" i="32"/>
  <c r="E42" i="32"/>
  <c r="BU42" i="32"/>
  <c r="AJ43" i="32"/>
  <c r="AL43" i="32"/>
  <c r="AN43" i="32"/>
  <c r="AP43" i="32"/>
  <c r="AR43" i="32"/>
  <c r="AT43" i="32"/>
  <c r="AX43" i="32"/>
  <c r="AJ33" i="32"/>
  <c r="AL33" i="32"/>
  <c r="AN33" i="32"/>
  <c r="AP33" i="32"/>
  <c r="AR33" i="32"/>
  <c r="AT33" i="32"/>
  <c r="AX33" i="32"/>
  <c r="BU33" i="32"/>
  <c r="AJ34" i="32"/>
  <c r="AL34" i="32"/>
  <c r="AN34" i="32"/>
  <c r="AP34" i="32"/>
  <c r="AR34" i="32"/>
  <c r="AT34" i="32"/>
  <c r="AX34" i="32"/>
  <c r="BU34" i="32"/>
  <c r="AB53" i="32"/>
  <c r="AJ35" i="32"/>
  <c r="AL35" i="32"/>
  <c r="AN35" i="32"/>
  <c r="AP35" i="32"/>
  <c r="AR35" i="32"/>
  <c r="AT35" i="32"/>
  <c r="AX35" i="32"/>
  <c r="BU35" i="32"/>
  <c r="AJ36" i="32"/>
  <c r="AL36" i="32"/>
  <c r="AN36" i="32"/>
  <c r="AP36" i="32"/>
  <c r="AR36" i="32"/>
  <c r="AT36" i="32"/>
  <c r="AX36" i="32"/>
  <c r="BU36" i="32"/>
  <c r="AJ37" i="32"/>
  <c r="AL37" i="32"/>
  <c r="AN37" i="32"/>
  <c r="AP37" i="32"/>
  <c r="AR37" i="32"/>
  <c r="AT37" i="32"/>
  <c r="AX37" i="32"/>
  <c r="BU37" i="32"/>
  <c r="AJ38" i="32"/>
  <c r="AL38" i="32"/>
  <c r="AN38" i="32"/>
  <c r="AP38" i="32"/>
  <c r="AR38" i="32"/>
  <c r="AT38" i="32"/>
  <c r="AX38" i="32"/>
  <c r="BU38" i="32"/>
  <c r="AJ39" i="32"/>
  <c r="AL39" i="32"/>
  <c r="AN39" i="32"/>
  <c r="AP39" i="32"/>
  <c r="AR39" i="32"/>
  <c r="AT39" i="32"/>
  <c r="AX39" i="32"/>
  <c r="BU39" i="32"/>
  <c r="BG40" i="32"/>
  <c r="BR40" i="32"/>
  <c r="E41" i="32"/>
  <c r="BU41" i="32"/>
  <c r="AJ42" i="32"/>
  <c r="AL42" i="32"/>
  <c r="AN42" i="32"/>
  <c r="AP42" i="32"/>
  <c r="AR42" i="32"/>
  <c r="AT42" i="32"/>
  <c r="AX42" i="32"/>
  <c r="E43" i="32"/>
  <c r="BU43" i="32"/>
  <c r="E44" i="32"/>
  <c r="AJ67" i="32"/>
  <c r="E45" i="32"/>
  <c r="U45" i="32"/>
  <c r="E46" i="32"/>
  <c r="U46" i="32"/>
  <c r="E47" i="32"/>
  <c r="U47" i="32"/>
  <c r="AJ44" i="32"/>
  <c r="AL44" i="32"/>
  <c r="AN44" i="32"/>
  <c r="AP44" i="32"/>
  <c r="AR44" i="32"/>
  <c r="AT44" i="32"/>
  <c r="AX44" i="32"/>
  <c r="AZ44" i="32"/>
  <c r="BU44" i="32"/>
  <c r="AJ45" i="32"/>
  <c r="AL45" i="32"/>
  <c r="AN45" i="32"/>
  <c r="AP45" i="32"/>
  <c r="AR45" i="32"/>
  <c r="AT45" i="32"/>
  <c r="AX45" i="32"/>
  <c r="BU45" i="32"/>
  <c r="AJ46" i="32"/>
  <c r="AL46" i="32"/>
  <c r="AN46" i="32"/>
  <c r="AP46" i="32"/>
  <c r="AR46" i="32"/>
  <c r="AT46" i="32"/>
  <c r="AX46" i="32"/>
  <c r="BU46" i="32"/>
  <c r="AN47" i="32"/>
  <c r="AP47" i="32"/>
  <c r="AR47" i="32"/>
  <c r="AT47" i="32"/>
  <c r="AX47" i="32"/>
  <c r="AZ76" i="32" l="1"/>
  <c r="AX76" i="32"/>
  <c r="AT76" i="32"/>
  <c r="AR76" i="32"/>
  <c r="AP76" i="32"/>
  <c r="AN76" i="32"/>
  <c r="AL76" i="32"/>
  <c r="AJ76" i="32"/>
  <c r="BI52" i="32"/>
  <c r="P72" i="32"/>
  <c r="BG76" i="32"/>
  <c r="BC76" i="32"/>
  <c r="AE49" i="32"/>
  <c r="AE50" i="32" s="1"/>
  <c r="AA49" i="32"/>
  <c r="AA52" i="32" s="1"/>
  <c r="W49" i="32"/>
  <c r="W50" i="32" s="1"/>
  <c r="Q76" i="32"/>
  <c r="M76" i="32"/>
  <c r="I49" i="32"/>
  <c r="E49" i="32"/>
  <c r="BR49" i="32"/>
  <c r="BR52" i="32" s="1"/>
  <c r="BE76" i="32"/>
  <c r="AG49" i="32"/>
  <c r="AC76" i="32"/>
  <c r="Y76" i="32"/>
  <c r="S49" i="32"/>
  <c r="S50" i="32" s="1"/>
  <c r="N51" i="32"/>
  <c r="N52" i="32" s="1"/>
  <c r="O49" i="32"/>
  <c r="K49" i="32"/>
  <c r="G49" i="32"/>
  <c r="AZ52" i="32"/>
  <c r="AZ50" i="32"/>
  <c r="AZ75" i="32"/>
  <c r="AX75" i="32"/>
  <c r="AX52" i="32"/>
  <c r="AX50" i="32"/>
  <c r="P67" i="32"/>
  <c r="AR52" i="32"/>
  <c r="AR50" i="32"/>
  <c r="P70" i="32"/>
  <c r="AP52" i="32"/>
  <c r="AP50" i="32"/>
  <c r="AN75" i="32"/>
  <c r="AN52" i="32"/>
  <c r="P68" i="32"/>
  <c r="P69" i="32"/>
  <c r="AL52" i="32"/>
  <c r="AJ49" i="32"/>
  <c r="AI52" i="32"/>
  <c r="BP49" i="32"/>
  <c r="BP52" i="32" s="1"/>
  <c r="BG49" i="32"/>
  <c r="BC49" i="32"/>
  <c r="AE76" i="32"/>
  <c r="AA76" i="32"/>
  <c r="W76" i="32"/>
  <c r="T51" i="32"/>
  <c r="U51" i="32" s="1"/>
  <c r="T52" i="32"/>
  <c r="U49" i="32"/>
  <c r="Q49" i="32"/>
  <c r="M49" i="32"/>
  <c r="I76" i="32"/>
  <c r="E76" i="32"/>
  <c r="BR76" i="32"/>
  <c r="BE49" i="32"/>
  <c r="AG76" i="32"/>
  <c r="AC49" i="32"/>
  <c r="Y49" i="32"/>
  <c r="S76" i="32"/>
  <c r="O76" i="32"/>
  <c r="K76" i="32"/>
  <c r="G76" i="32"/>
  <c r="P64" i="32" l="1"/>
  <c r="AC52" i="32"/>
  <c r="BE75" i="32"/>
  <c r="BE52" i="32"/>
  <c r="BE50" i="32"/>
  <c r="M75" i="32"/>
  <c r="P60" i="32"/>
  <c r="U52" i="32"/>
  <c r="P62" i="32"/>
  <c r="K81" i="32" s="1"/>
  <c r="U50" i="32"/>
  <c r="BC52" i="32"/>
  <c r="BC50" i="32"/>
  <c r="AJ75" i="32"/>
  <c r="P66" i="32"/>
  <c r="K84" i="32" s="1"/>
  <c r="AJ52" i="32"/>
  <c r="AJ50" i="32"/>
  <c r="K75" i="32"/>
  <c r="P59" i="32"/>
  <c r="K50" i="32"/>
  <c r="AG52" i="32"/>
  <c r="AG75" i="32"/>
  <c r="P65" i="32"/>
  <c r="K83" i="32" s="1"/>
  <c r="AG50" i="32"/>
  <c r="Y75" i="32"/>
  <c r="P63" i="32"/>
  <c r="K82" i="32" s="1"/>
  <c r="Y52" i="32"/>
  <c r="Y50" i="32"/>
  <c r="Q52" i="32"/>
  <c r="Q50" i="32"/>
  <c r="P71" i="32"/>
  <c r="K85" i="32" s="1"/>
  <c r="BG75" i="32"/>
  <c r="BG52" i="32"/>
  <c r="BG50" i="32"/>
  <c r="O75" i="32"/>
  <c r="O50" i="32"/>
  <c r="P61" i="32"/>
  <c r="K80" i="32" s="1"/>
  <c r="O52" i="32"/>
  <c r="E75" i="32"/>
  <c r="P58" i="32"/>
  <c r="K79" i="32" s="1"/>
  <c r="E50" i="32"/>
  <c r="E52" i="32"/>
  <c r="M66" i="31" l="1"/>
  <c r="D51" i="31"/>
  <c r="BO47" i="31"/>
  <c r="BL47" i="31"/>
  <c r="BG47" i="31"/>
  <c r="BE47" i="31"/>
  <c r="BC47" i="31"/>
  <c r="AR47" i="31"/>
  <c r="AP47" i="31"/>
  <c r="AN47" i="31"/>
  <c r="AL47" i="31"/>
  <c r="AJ47" i="31"/>
  <c r="AZ47" i="31"/>
  <c r="Y47" i="31"/>
  <c r="W47" i="31"/>
  <c r="S47" i="31"/>
  <c r="Q47" i="31"/>
  <c r="O47" i="31"/>
  <c r="M47" i="31"/>
  <c r="K47" i="31"/>
  <c r="I47" i="31"/>
  <c r="G47" i="31"/>
  <c r="BO46" i="31"/>
  <c r="BL46" i="31"/>
  <c r="BG46" i="31"/>
  <c r="BE46" i="31"/>
  <c r="BC46" i="31"/>
  <c r="AZ46" i="31"/>
  <c r="AG46" i="31"/>
  <c r="AE46" i="31"/>
  <c r="AC46" i="31"/>
  <c r="AA46" i="31"/>
  <c r="Y46" i="31"/>
  <c r="W46" i="31"/>
  <c r="S46" i="31"/>
  <c r="Q46" i="31"/>
  <c r="O46" i="31"/>
  <c r="M46" i="31"/>
  <c r="K46" i="31"/>
  <c r="I46" i="31"/>
  <c r="G46" i="31"/>
  <c r="E46" i="31"/>
  <c r="BO45" i="31"/>
  <c r="BL45" i="31"/>
  <c r="BG45" i="31"/>
  <c r="BE45" i="31"/>
  <c r="BC45" i="31"/>
  <c r="AZ45" i="31"/>
  <c r="AG45" i="31"/>
  <c r="AE45" i="31"/>
  <c r="AC45" i="31"/>
  <c r="AA45" i="31"/>
  <c r="Y45" i="31"/>
  <c r="W45" i="31"/>
  <c r="S45" i="31"/>
  <c r="Q45" i="31"/>
  <c r="O45" i="31"/>
  <c r="M45" i="31"/>
  <c r="K45" i="31"/>
  <c r="I45" i="31"/>
  <c r="G45" i="31"/>
  <c r="E45" i="31"/>
  <c r="BO44" i="31"/>
  <c r="BL44" i="31"/>
  <c r="BG44" i="31"/>
  <c r="BE44" i="31"/>
  <c r="BC44" i="31"/>
  <c r="AG44" i="31"/>
  <c r="AE44" i="31"/>
  <c r="AC44" i="31"/>
  <c r="AA44" i="31"/>
  <c r="Y44" i="31"/>
  <c r="W44" i="31"/>
  <c r="S44" i="31"/>
  <c r="Q44" i="31"/>
  <c r="O44" i="31"/>
  <c r="M44" i="31"/>
  <c r="K44" i="31"/>
  <c r="I44" i="31"/>
  <c r="G44" i="31"/>
  <c r="BO43" i="31"/>
  <c r="BL43" i="31"/>
  <c r="BG43" i="31"/>
  <c r="BE43" i="31"/>
  <c r="BC43" i="31"/>
  <c r="AZ43" i="31"/>
  <c r="AG43" i="31"/>
  <c r="AE43" i="31"/>
  <c r="AC43" i="31"/>
  <c r="AA43" i="31"/>
  <c r="Y43" i="31"/>
  <c r="W43" i="31"/>
  <c r="U43" i="31"/>
  <c r="S43" i="31"/>
  <c r="Q43" i="31"/>
  <c r="O43" i="31"/>
  <c r="M43" i="31"/>
  <c r="K43" i="31"/>
  <c r="I43" i="31"/>
  <c r="G43" i="31"/>
  <c r="E43" i="31"/>
  <c r="BO42" i="31"/>
  <c r="BL42" i="31"/>
  <c r="BG42" i="31"/>
  <c r="BE42" i="31"/>
  <c r="BC42" i="31"/>
  <c r="AZ42" i="31"/>
  <c r="AG42" i="31"/>
  <c r="AE42" i="31"/>
  <c r="AC42" i="31"/>
  <c r="AA42" i="31"/>
  <c r="Y42" i="31"/>
  <c r="W42" i="31"/>
  <c r="U42" i="31"/>
  <c r="S42" i="31"/>
  <c r="Q42" i="31"/>
  <c r="O42" i="31"/>
  <c r="M42" i="31"/>
  <c r="K42" i="31"/>
  <c r="I42" i="31"/>
  <c r="G42" i="31"/>
  <c r="E42" i="31"/>
  <c r="BO41" i="31"/>
  <c r="BG41" i="31"/>
  <c r="BE41" i="31"/>
  <c r="BC41" i="31"/>
  <c r="AZ41" i="31"/>
  <c r="W41" i="31"/>
  <c r="S41" i="31"/>
  <c r="Q41" i="31"/>
  <c r="O41" i="31"/>
  <c r="M41" i="31"/>
  <c r="K41" i="31"/>
  <c r="I41" i="31"/>
  <c r="G41" i="31"/>
  <c r="BL41" i="31"/>
  <c r="BO40" i="31"/>
  <c r="BL40" i="31"/>
  <c r="BG40" i="31"/>
  <c r="BE40" i="31"/>
  <c r="BC40" i="31"/>
  <c r="AZ40" i="31"/>
  <c r="AG40" i="31"/>
  <c r="AE40" i="31"/>
  <c r="AC40" i="31"/>
  <c r="AA40" i="31"/>
  <c r="Y40" i="31"/>
  <c r="W40" i="31"/>
  <c r="U40" i="31"/>
  <c r="S40" i="31"/>
  <c r="Q40" i="31"/>
  <c r="O40" i="31"/>
  <c r="M40" i="31"/>
  <c r="K40" i="31"/>
  <c r="I40" i="31"/>
  <c r="G40" i="31"/>
  <c r="BO39" i="31"/>
  <c r="BL39" i="31"/>
  <c r="BG39" i="31"/>
  <c r="BE39" i="31"/>
  <c r="BC39" i="31"/>
  <c r="AZ39" i="31"/>
  <c r="AG39" i="31"/>
  <c r="AE39" i="31"/>
  <c r="AC39" i="31"/>
  <c r="AA39" i="31"/>
  <c r="Y39" i="31"/>
  <c r="W39" i="31"/>
  <c r="U39" i="31"/>
  <c r="S39" i="31"/>
  <c r="Q39" i="31"/>
  <c r="O39" i="31"/>
  <c r="M39" i="31"/>
  <c r="K39" i="31"/>
  <c r="I39" i="31"/>
  <c r="G39" i="31"/>
  <c r="BO38" i="31"/>
  <c r="BL38" i="31"/>
  <c r="BG38" i="31"/>
  <c r="BE38" i="31"/>
  <c r="BC38" i="31"/>
  <c r="AZ38" i="31"/>
  <c r="AG38" i="31"/>
  <c r="AE38" i="31"/>
  <c r="AC38" i="31"/>
  <c r="AA38" i="31"/>
  <c r="Y38" i="31"/>
  <c r="W38" i="31"/>
  <c r="U38" i="31"/>
  <c r="S38" i="31"/>
  <c r="Q38" i="31"/>
  <c r="O38" i="31"/>
  <c r="M38" i="31"/>
  <c r="K38" i="31"/>
  <c r="I38" i="31"/>
  <c r="G38" i="31"/>
  <c r="BO37" i="31"/>
  <c r="BL37" i="31"/>
  <c r="BG37" i="31"/>
  <c r="BE37" i="31"/>
  <c r="BC37" i="31"/>
  <c r="AZ37" i="31"/>
  <c r="AG37" i="31"/>
  <c r="AE37" i="31"/>
  <c r="AC37" i="31"/>
  <c r="AA37" i="31"/>
  <c r="Y37" i="31"/>
  <c r="W37" i="31"/>
  <c r="S37" i="31"/>
  <c r="Q37" i="31"/>
  <c r="O37" i="31"/>
  <c r="M37" i="31"/>
  <c r="K37" i="31"/>
  <c r="I37" i="31"/>
  <c r="G37" i="31"/>
  <c r="E37" i="31"/>
  <c r="BO36" i="31"/>
  <c r="BL36" i="31"/>
  <c r="BG36" i="31"/>
  <c r="BE36" i="31"/>
  <c r="BC36" i="31"/>
  <c r="AZ36" i="31"/>
  <c r="AG36" i="31"/>
  <c r="AE36" i="31"/>
  <c r="AC36" i="31"/>
  <c r="AA36" i="31"/>
  <c r="Y36" i="31"/>
  <c r="W36" i="31"/>
  <c r="U36" i="31"/>
  <c r="S36" i="31"/>
  <c r="Q36" i="31"/>
  <c r="O36" i="31"/>
  <c r="M36" i="31"/>
  <c r="K36" i="31"/>
  <c r="I36" i="31"/>
  <c r="G36" i="31"/>
  <c r="E36" i="31"/>
  <c r="BO35" i="31"/>
  <c r="BG35" i="31"/>
  <c r="BE35" i="31"/>
  <c r="BC35" i="31"/>
  <c r="AZ35" i="31"/>
  <c r="S35" i="31"/>
  <c r="Q35" i="31"/>
  <c r="O35" i="31"/>
  <c r="M35" i="31"/>
  <c r="K35" i="31"/>
  <c r="I35" i="31"/>
  <c r="G35" i="31"/>
  <c r="E35" i="31"/>
  <c r="BO34" i="31"/>
  <c r="BL34" i="31"/>
  <c r="BG34" i="31"/>
  <c r="BE34" i="31"/>
  <c r="BC34" i="31"/>
  <c r="AZ34" i="31"/>
  <c r="AG34" i="31"/>
  <c r="AE34" i="31"/>
  <c r="AC34" i="31"/>
  <c r="AA34" i="31"/>
  <c r="Y34" i="31"/>
  <c r="W34" i="31"/>
  <c r="S34" i="31"/>
  <c r="Q34" i="31"/>
  <c r="O34" i="31"/>
  <c r="M34" i="31"/>
  <c r="K34" i="31"/>
  <c r="I34" i="31"/>
  <c r="G34" i="31"/>
  <c r="E34" i="31"/>
  <c r="BO33" i="31"/>
  <c r="BL33" i="31"/>
  <c r="BG33" i="31"/>
  <c r="BE33" i="31"/>
  <c r="BC33" i="31"/>
  <c r="AZ33" i="31"/>
  <c r="AG33" i="31"/>
  <c r="AE33" i="31"/>
  <c r="AC33" i="31"/>
  <c r="AA33" i="31"/>
  <c r="Y33" i="31"/>
  <c r="W33" i="31"/>
  <c r="U33" i="31"/>
  <c r="S33" i="31"/>
  <c r="Q33" i="31"/>
  <c r="O33" i="31"/>
  <c r="M33" i="31"/>
  <c r="K33" i="31"/>
  <c r="I33" i="31"/>
  <c r="G33" i="31"/>
  <c r="E33" i="31"/>
  <c r="BO32" i="31"/>
  <c r="BL32" i="31"/>
  <c r="BG32" i="31"/>
  <c r="BE32" i="31"/>
  <c r="BC32" i="31"/>
  <c r="AG32" i="31"/>
  <c r="AE32" i="31"/>
  <c r="AC32" i="31"/>
  <c r="AA32" i="31"/>
  <c r="Y32" i="31"/>
  <c r="W32" i="31"/>
  <c r="S32" i="31"/>
  <c r="Q32" i="31"/>
  <c r="O32" i="31"/>
  <c r="M32" i="31"/>
  <c r="K32" i="31"/>
  <c r="I32" i="31"/>
  <c r="G32" i="31"/>
  <c r="E32" i="31"/>
  <c r="BO31" i="31"/>
  <c r="BL31" i="31"/>
  <c r="BG31" i="31"/>
  <c r="BE31" i="31"/>
  <c r="BC31" i="31"/>
  <c r="AZ31" i="31"/>
  <c r="AG31" i="31"/>
  <c r="AE31" i="31"/>
  <c r="AC31" i="31"/>
  <c r="AA31" i="31"/>
  <c r="Y31" i="31"/>
  <c r="W31" i="31"/>
  <c r="U31" i="31"/>
  <c r="S31" i="31"/>
  <c r="Q31" i="31"/>
  <c r="O31" i="31"/>
  <c r="M31" i="31"/>
  <c r="K31" i="31"/>
  <c r="I31" i="31"/>
  <c r="G31" i="31"/>
  <c r="E31" i="31"/>
  <c r="BO30" i="31"/>
  <c r="BL30" i="31"/>
  <c r="BG30" i="31"/>
  <c r="BE30" i="31"/>
  <c r="BC30" i="31"/>
  <c r="AZ30" i="31"/>
  <c r="AG30" i="31"/>
  <c r="AE30" i="31"/>
  <c r="AC30" i="31"/>
  <c r="AA30" i="31"/>
  <c r="Y30" i="31"/>
  <c r="W30" i="31"/>
  <c r="U30" i="31"/>
  <c r="S30" i="31"/>
  <c r="Q30" i="31"/>
  <c r="O30" i="31"/>
  <c r="M30" i="31"/>
  <c r="K30" i="31"/>
  <c r="I30" i="31"/>
  <c r="G30" i="31"/>
  <c r="E30" i="31"/>
  <c r="BO29" i="31"/>
  <c r="BL29" i="31"/>
  <c r="BG29" i="31"/>
  <c r="BE29" i="31"/>
  <c r="BC29" i="31"/>
  <c r="AG29" i="31"/>
  <c r="AE29" i="31"/>
  <c r="AC29" i="31"/>
  <c r="AA29" i="31"/>
  <c r="Y29" i="31"/>
  <c r="W29" i="31"/>
  <c r="S29" i="31"/>
  <c r="Q29" i="31"/>
  <c r="O29" i="31"/>
  <c r="M29" i="31"/>
  <c r="K29" i="31"/>
  <c r="I29" i="31"/>
  <c r="G29" i="31"/>
  <c r="BO28" i="31"/>
  <c r="BL28" i="31"/>
  <c r="BG28" i="31"/>
  <c r="BE28" i="31"/>
  <c r="BC28" i="31"/>
  <c r="AZ28" i="31"/>
  <c r="AG28" i="31"/>
  <c r="AE28" i="31"/>
  <c r="AC28" i="31"/>
  <c r="AA28" i="31"/>
  <c r="Y28" i="31"/>
  <c r="W28" i="31"/>
  <c r="S28" i="31"/>
  <c r="Q28" i="31"/>
  <c r="O28" i="31"/>
  <c r="M28" i="31"/>
  <c r="K28" i="31"/>
  <c r="I28" i="31"/>
  <c r="G28" i="31"/>
  <c r="E28" i="31"/>
  <c r="BO27" i="31"/>
  <c r="BL27" i="31"/>
  <c r="BG27" i="31"/>
  <c r="BE27" i="31"/>
  <c r="BC27" i="31"/>
  <c r="AZ27" i="31"/>
  <c r="AG27" i="31"/>
  <c r="AE27" i="31"/>
  <c r="AC27" i="31"/>
  <c r="AA27" i="31"/>
  <c r="Y27" i="31"/>
  <c r="W27" i="31"/>
  <c r="U27" i="31"/>
  <c r="S27" i="31"/>
  <c r="Q27" i="31"/>
  <c r="O27" i="31"/>
  <c r="M27" i="31"/>
  <c r="K27" i="31"/>
  <c r="I27" i="31"/>
  <c r="G27" i="31"/>
  <c r="E27" i="31"/>
  <c r="BO26" i="31"/>
  <c r="BL26" i="31"/>
  <c r="BG26" i="31"/>
  <c r="BE26" i="31"/>
  <c r="BC26" i="31"/>
  <c r="AZ26" i="31"/>
  <c r="AG26" i="31"/>
  <c r="AE26" i="31"/>
  <c r="AC26" i="31"/>
  <c r="AA26" i="31"/>
  <c r="Y26" i="31"/>
  <c r="W26" i="31"/>
  <c r="U26" i="31"/>
  <c r="S26" i="31"/>
  <c r="Q26" i="31"/>
  <c r="O26" i="31"/>
  <c r="M26" i="31"/>
  <c r="K26" i="31"/>
  <c r="I26" i="31"/>
  <c r="G26" i="31"/>
  <c r="E26" i="31"/>
  <c r="BO25" i="31"/>
  <c r="BL25" i="31"/>
  <c r="BG25" i="31"/>
  <c r="BE25" i="31"/>
  <c r="BC25" i="31"/>
  <c r="AZ25" i="31"/>
  <c r="AG25" i="31"/>
  <c r="AE25" i="31"/>
  <c r="AC25" i="31"/>
  <c r="AA25" i="31"/>
  <c r="Y25" i="31"/>
  <c r="W25" i="31"/>
  <c r="S25" i="31"/>
  <c r="Q25" i="31"/>
  <c r="O25" i="31"/>
  <c r="M25" i="31"/>
  <c r="K25" i="31"/>
  <c r="I25" i="31"/>
  <c r="G25" i="31"/>
  <c r="E25" i="31"/>
  <c r="BO24" i="31"/>
  <c r="BL24" i="31"/>
  <c r="BG24" i="31"/>
  <c r="BE24" i="31"/>
  <c r="BC24" i="31"/>
  <c r="AZ24" i="31"/>
  <c r="AG24" i="31"/>
  <c r="AE24" i="31"/>
  <c r="AC24" i="31"/>
  <c r="AA24" i="31"/>
  <c r="Y24" i="31"/>
  <c r="W24" i="31"/>
  <c r="U24" i="31"/>
  <c r="S24" i="31"/>
  <c r="Q24" i="31"/>
  <c r="O24" i="31"/>
  <c r="M24" i="31"/>
  <c r="K24" i="31"/>
  <c r="I24" i="31"/>
  <c r="G24" i="31"/>
  <c r="E24" i="31"/>
  <c r="BO23" i="31"/>
  <c r="BE23" i="31"/>
  <c r="AZ23" i="31"/>
  <c r="AX23" i="31"/>
  <c r="AV23" i="31"/>
  <c r="AR23" i="31"/>
  <c r="AP23" i="31"/>
  <c r="AN23" i="31"/>
  <c r="AL23" i="31"/>
  <c r="AJ23" i="31"/>
  <c r="M23" i="31"/>
  <c r="K23" i="31"/>
  <c r="I23" i="31"/>
  <c r="G23" i="31"/>
  <c r="BO22" i="31"/>
  <c r="BG22" i="31"/>
  <c r="BE22" i="31"/>
  <c r="BC22" i="31"/>
  <c r="AZ22" i="31"/>
  <c r="AG22" i="31"/>
  <c r="AE22" i="31"/>
  <c r="AC22" i="31"/>
  <c r="AA22" i="31"/>
  <c r="Y22" i="31"/>
  <c r="W22" i="31"/>
  <c r="S22" i="31"/>
  <c r="Q22" i="31"/>
  <c r="O22" i="31"/>
  <c r="M22" i="31"/>
  <c r="K22" i="31"/>
  <c r="I22" i="31"/>
  <c r="G22" i="31"/>
  <c r="E22" i="31"/>
  <c r="BO21" i="31"/>
  <c r="BL21" i="31"/>
  <c r="BG21" i="31"/>
  <c r="BE21" i="31"/>
  <c r="BC21" i="31"/>
  <c r="AZ21" i="31"/>
  <c r="AG21" i="31"/>
  <c r="AE21" i="31"/>
  <c r="AC21" i="31"/>
  <c r="AA21" i="31"/>
  <c r="Y21" i="31"/>
  <c r="W21" i="31"/>
  <c r="S21" i="31"/>
  <c r="Q21" i="31"/>
  <c r="O21" i="31"/>
  <c r="M21" i="31"/>
  <c r="K21" i="31"/>
  <c r="I21" i="31"/>
  <c r="G21" i="31"/>
  <c r="E21" i="31"/>
  <c r="BO20" i="31"/>
  <c r="BL20" i="31"/>
  <c r="BG20" i="31"/>
  <c r="BE20" i="31"/>
  <c r="BC20" i="31"/>
  <c r="AZ20" i="31"/>
  <c r="AG20" i="31"/>
  <c r="AE20" i="31"/>
  <c r="AC20" i="31"/>
  <c r="AA20" i="31"/>
  <c r="Y20" i="31"/>
  <c r="W20" i="31"/>
  <c r="U20" i="31"/>
  <c r="S20" i="31"/>
  <c r="Q20" i="31"/>
  <c r="O20" i="31"/>
  <c r="M20" i="31"/>
  <c r="K20" i="31"/>
  <c r="I20" i="31"/>
  <c r="G20" i="31"/>
  <c r="E20" i="31"/>
  <c r="BO19" i="31"/>
  <c r="BL19" i="31"/>
  <c r="BG19" i="31"/>
  <c r="BE19" i="31"/>
  <c r="BC19" i="31"/>
  <c r="AZ19" i="31"/>
  <c r="AG19" i="31"/>
  <c r="AE19" i="31"/>
  <c r="AC19" i="31"/>
  <c r="AA19" i="31"/>
  <c r="Y19" i="31"/>
  <c r="W19" i="31"/>
  <c r="U19" i="31"/>
  <c r="S19" i="31"/>
  <c r="Q19" i="31"/>
  <c r="O19" i="31"/>
  <c r="M19" i="31"/>
  <c r="K19" i="31"/>
  <c r="I19" i="31"/>
  <c r="G19" i="31"/>
  <c r="E19" i="31"/>
  <c r="BO18" i="31"/>
  <c r="BL18" i="31"/>
  <c r="BG18" i="31"/>
  <c r="BE18" i="31"/>
  <c r="BC18" i="31"/>
  <c r="AZ18" i="31"/>
  <c r="AG18" i="31"/>
  <c r="AE18" i="31"/>
  <c r="AC18" i="31"/>
  <c r="AA18" i="31"/>
  <c r="Y18" i="31"/>
  <c r="W18" i="31"/>
  <c r="U18" i="31"/>
  <c r="S18" i="31"/>
  <c r="Q18" i="31"/>
  <c r="O18" i="31"/>
  <c r="M18" i="31"/>
  <c r="K18" i="31"/>
  <c r="I18" i="31"/>
  <c r="G18" i="31"/>
  <c r="E18" i="31"/>
  <c r="BO17" i="31"/>
  <c r="BL17" i="31"/>
  <c r="BG17" i="31"/>
  <c r="BE17" i="31"/>
  <c r="BC17" i="31"/>
  <c r="AG17" i="31"/>
  <c r="AE17" i="31"/>
  <c r="AC17" i="31"/>
  <c r="AA17" i="31"/>
  <c r="Y17" i="31"/>
  <c r="W17" i="31"/>
  <c r="S17" i="31"/>
  <c r="Q17" i="31"/>
  <c r="O17" i="31"/>
  <c r="M17" i="31"/>
  <c r="K17" i="31"/>
  <c r="I17" i="31"/>
  <c r="G17" i="31"/>
  <c r="E17" i="31"/>
  <c r="BO16" i="31"/>
  <c r="BL16" i="31"/>
  <c r="BG16" i="31"/>
  <c r="BE16" i="31"/>
  <c r="BC16" i="31"/>
  <c r="AZ16" i="31"/>
  <c r="AG16" i="31"/>
  <c r="AE16" i="31"/>
  <c r="AC16" i="31"/>
  <c r="AA16" i="31"/>
  <c r="Y16" i="31"/>
  <c r="W16" i="31"/>
  <c r="U16" i="31"/>
  <c r="S16" i="31"/>
  <c r="Q16" i="31"/>
  <c r="O16" i="31"/>
  <c r="M16" i="31"/>
  <c r="K16" i="31"/>
  <c r="I16" i="31"/>
  <c r="G16" i="31"/>
  <c r="E16" i="31"/>
  <c r="BO15" i="31"/>
  <c r="BL15" i="31"/>
  <c r="BG15" i="31"/>
  <c r="BE15" i="31"/>
  <c r="BC15" i="31"/>
  <c r="AR15" i="31"/>
  <c r="AG15" i="31"/>
  <c r="AE15" i="31"/>
  <c r="AC15" i="31"/>
  <c r="AA15" i="31"/>
  <c r="Y15" i="31"/>
  <c r="W15" i="31"/>
  <c r="U15" i="31"/>
  <c r="S15" i="31"/>
  <c r="Q15" i="31"/>
  <c r="O15" i="31"/>
  <c r="M15" i="31"/>
  <c r="K15" i="31"/>
  <c r="I15" i="31"/>
  <c r="G15" i="31"/>
  <c r="E15" i="31"/>
  <c r="BO14" i="31"/>
  <c r="BL14" i="31"/>
  <c r="BG14" i="31"/>
  <c r="BE14" i="31"/>
  <c r="BC14" i="31"/>
  <c r="AG14" i="31"/>
  <c r="AE14" i="31"/>
  <c r="AC14" i="31"/>
  <c r="AA14" i="31"/>
  <c r="Y14" i="31"/>
  <c r="W14" i="31"/>
  <c r="S14" i="31"/>
  <c r="Q14" i="31"/>
  <c r="O14" i="31"/>
  <c r="M14" i="31"/>
  <c r="K14" i="31"/>
  <c r="I14" i="31"/>
  <c r="G14" i="31"/>
  <c r="E14" i="31"/>
  <c r="BO13" i="31"/>
  <c r="BL13" i="31"/>
  <c r="BG13" i="31"/>
  <c r="BE13" i="31"/>
  <c r="BC13" i="31"/>
  <c r="AZ13" i="31"/>
  <c r="AG13" i="31"/>
  <c r="AE13" i="31"/>
  <c r="AC13" i="31"/>
  <c r="AA13" i="31"/>
  <c r="Y13" i="31"/>
  <c r="W13" i="31"/>
  <c r="S13" i="31"/>
  <c r="Q13" i="31"/>
  <c r="O13" i="31"/>
  <c r="M13" i="31"/>
  <c r="K13" i="31"/>
  <c r="I13" i="31"/>
  <c r="G13" i="31"/>
  <c r="E13" i="31"/>
  <c r="BO12" i="31"/>
  <c r="BL12" i="31"/>
  <c r="BG12" i="31"/>
  <c r="BE12" i="31"/>
  <c r="BC12" i="31"/>
  <c r="AZ12" i="31"/>
  <c r="AG12" i="31"/>
  <c r="AE12" i="31"/>
  <c r="AC12" i="31"/>
  <c r="AA12" i="31"/>
  <c r="Y12" i="31"/>
  <c r="W12" i="31"/>
  <c r="U12" i="31"/>
  <c r="S12" i="31"/>
  <c r="Q12" i="31"/>
  <c r="O12" i="31"/>
  <c r="M12" i="31"/>
  <c r="K12" i="31"/>
  <c r="I12" i="31"/>
  <c r="G12" i="31"/>
  <c r="E12" i="31"/>
  <c r="BL11" i="31"/>
  <c r="F49" i="31" l="1"/>
  <c r="J49" i="31"/>
  <c r="N49" i="31"/>
  <c r="R49" i="31"/>
  <c r="V49" i="31"/>
  <c r="Z49" i="31"/>
  <c r="AD49" i="31"/>
  <c r="AH72" i="31"/>
  <c r="AH49" i="31"/>
  <c r="AJ11" i="31"/>
  <c r="AL11" i="31"/>
  <c r="AN11" i="31"/>
  <c r="AP11" i="31"/>
  <c r="AR11" i="31"/>
  <c r="BB49" i="31"/>
  <c r="BF49" i="31"/>
  <c r="BJ49" i="31"/>
  <c r="AJ12" i="31"/>
  <c r="AL12" i="31"/>
  <c r="AN12" i="31"/>
  <c r="AP12" i="31"/>
  <c r="AR12" i="31"/>
  <c r="AJ13" i="31"/>
  <c r="AL13" i="31"/>
  <c r="AN13" i="31"/>
  <c r="AP13" i="31"/>
  <c r="AR13" i="31"/>
  <c r="AV14" i="31"/>
  <c r="AX14" i="31"/>
  <c r="AZ14" i="31"/>
  <c r="AV15" i="31"/>
  <c r="AX15" i="31"/>
  <c r="AZ15" i="31"/>
  <c r="AJ16" i="31"/>
  <c r="AL16" i="31"/>
  <c r="AN16" i="31"/>
  <c r="AP16" i="31"/>
  <c r="AR16" i="31"/>
  <c r="AJ17" i="31"/>
  <c r="AL17" i="31"/>
  <c r="AN17" i="31"/>
  <c r="AP17" i="31"/>
  <c r="AR17" i="31"/>
  <c r="AV17" i="31"/>
  <c r="AX17" i="31"/>
  <c r="AZ17" i="31"/>
  <c r="AJ18" i="31"/>
  <c r="AL18" i="31"/>
  <c r="AN18" i="31"/>
  <c r="AP18" i="31"/>
  <c r="AR18" i="31"/>
  <c r="AV18" i="31"/>
  <c r="AX18" i="31"/>
  <c r="AJ19" i="31"/>
  <c r="AL19" i="31"/>
  <c r="AN19" i="31"/>
  <c r="AP19" i="31"/>
  <c r="AR19" i="31"/>
  <c r="AV19" i="31"/>
  <c r="AX19" i="31"/>
  <c r="AJ20" i="31"/>
  <c r="AL20" i="31"/>
  <c r="AN20" i="31"/>
  <c r="AP20" i="31"/>
  <c r="AR20" i="31"/>
  <c r="AV20" i="31"/>
  <c r="AX20" i="31"/>
  <c r="AJ21" i="31"/>
  <c r="AL21" i="31"/>
  <c r="AN21" i="31"/>
  <c r="AP21" i="31"/>
  <c r="AR21" i="31"/>
  <c r="AV21" i="31"/>
  <c r="AX21" i="31"/>
  <c r="AJ22" i="31"/>
  <c r="AL22" i="31"/>
  <c r="AN22" i="31"/>
  <c r="AP22" i="31"/>
  <c r="AR22" i="31"/>
  <c r="AV22" i="31"/>
  <c r="AX22" i="31"/>
  <c r="BL22" i="31"/>
  <c r="BG23" i="31"/>
  <c r="AJ24" i="31"/>
  <c r="AL24" i="31"/>
  <c r="AN24" i="31"/>
  <c r="AP24" i="31"/>
  <c r="AR24" i="31"/>
  <c r="AV24" i="31"/>
  <c r="AX24" i="31"/>
  <c r="AJ25" i="31"/>
  <c r="AL25" i="31"/>
  <c r="AN25" i="31"/>
  <c r="AP25" i="31"/>
  <c r="AR25" i="31"/>
  <c r="AV25" i="31"/>
  <c r="AX25" i="31"/>
  <c r="AJ26" i="31"/>
  <c r="AL26" i="31"/>
  <c r="AN26" i="31"/>
  <c r="AP26" i="31"/>
  <c r="AR26" i="31"/>
  <c r="AV26" i="31"/>
  <c r="AX26" i="31"/>
  <c r="AJ27" i="31"/>
  <c r="AL27" i="31"/>
  <c r="AN27" i="31"/>
  <c r="AP27" i="31"/>
  <c r="AR27" i="31"/>
  <c r="AV27" i="31"/>
  <c r="AX27" i="31"/>
  <c r="AJ28" i="31"/>
  <c r="AL28" i="31"/>
  <c r="AN28" i="31"/>
  <c r="AP28" i="31"/>
  <c r="AR28" i="31"/>
  <c r="AV28" i="31"/>
  <c r="AX28" i="31"/>
  <c r="AZ29" i="31"/>
  <c r="AX29" i="31"/>
  <c r="AV29" i="31"/>
  <c r="AJ29" i="31"/>
  <c r="AL29" i="31"/>
  <c r="AN29" i="31"/>
  <c r="AP29" i="31"/>
  <c r="AR29" i="31"/>
  <c r="D49" i="31"/>
  <c r="H49" i="31"/>
  <c r="L49" i="31"/>
  <c r="P49" i="31"/>
  <c r="T49" i="31"/>
  <c r="X49" i="31"/>
  <c r="AB49" i="31"/>
  <c r="AF49" i="31"/>
  <c r="AT49" i="31"/>
  <c r="AV11" i="31"/>
  <c r="AX11" i="31"/>
  <c r="AZ11" i="31"/>
  <c r="BD49" i="31"/>
  <c r="BH49" i="31"/>
  <c r="BN49" i="31"/>
  <c r="BP49" i="31"/>
  <c r="AV12" i="31"/>
  <c r="AX12" i="31"/>
  <c r="AV13" i="31"/>
  <c r="AX13" i="31"/>
  <c r="AJ14" i="31"/>
  <c r="AL14" i="31"/>
  <c r="AN14" i="31"/>
  <c r="AP14" i="31"/>
  <c r="AR14" i="31"/>
  <c r="AJ15" i="31"/>
  <c r="AL15" i="31"/>
  <c r="AN15" i="31"/>
  <c r="AP15" i="31"/>
  <c r="AV16" i="31"/>
  <c r="AX16" i="31"/>
  <c r="C49" i="31"/>
  <c r="E11" i="31"/>
  <c r="G11" i="31"/>
  <c r="I11" i="31"/>
  <c r="K11" i="31"/>
  <c r="M11" i="31"/>
  <c r="O11" i="31"/>
  <c r="Q11" i="31"/>
  <c r="S11" i="31"/>
  <c r="U11" i="31"/>
  <c r="W11" i="31"/>
  <c r="Y11" i="31"/>
  <c r="AA11" i="31"/>
  <c r="AC11" i="31"/>
  <c r="AE11" i="31"/>
  <c r="AG11" i="31"/>
  <c r="AI72" i="31"/>
  <c r="AJ72" i="31" s="1"/>
  <c r="AI49" i="31"/>
  <c r="AK49" i="31"/>
  <c r="AL49" i="31" s="1"/>
  <c r="AM49" i="31"/>
  <c r="AN49" i="31" s="1"/>
  <c r="AO49" i="31"/>
  <c r="AP49" i="31" s="1"/>
  <c r="AQ49" i="31"/>
  <c r="AR49" i="31" s="1"/>
  <c r="AS49" i="31"/>
  <c r="AU49" i="31"/>
  <c r="AV49" i="31" s="1"/>
  <c r="AW49" i="31"/>
  <c r="AX49" i="31" s="1"/>
  <c r="AY49" i="31"/>
  <c r="AZ49" i="31" s="1"/>
  <c r="BA49" i="31"/>
  <c r="BC11" i="31"/>
  <c r="BE11" i="31"/>
  <c r="BG11" i="31"/>
  <c r="BI49" i="31"/>
  <c r="BK49" i="31"/>
  <c r="BM49" i="31"/>
  <c r="BO11" i="31"/>
  <c r="U13" i="31"/>
  <c r="U14" i="31"/>
  <c r="U17" i="31"/>
  <c r="U21" i="31"/>
  <c r="U22" i="31"/>
  <c r="E23" i="31"/>
  <c r="O23" i="31"/>
  <c r="Q23" i="31"/>
  <c r="S23" i="31"/>
  <c r="U23" i="31"/>
  <c r="W23" i="31"/>
  <c r="Y23" i="31"/>
  <c r="AA23" i="31"/>
  <c r="AC23" i="31"/>
  <c r="AE23" i="31"/>
  <c r="AG23" i="31"/>
  <c r="BC23" i="31"/>
  <c r="BL23" i="31"/>
  <c r="U25" i="31"/>
  <c r="U28" i="31"/>
  <c r="E29" i="31"/>
  <c r="U29" i="31"/>
  <c r="AJ30" i="31"/>
  <c r="AL30" i="31"/>
  <c r="AN30" i="31"/>
  <c r="AP30" i="31"/>
  <c r="AR30" i="31"/>
  <c r="AV30" i="31"/>
  <c r="AX30" i="31"/>
  <c r="AJ31" i="31"/>
  <c r="AL31" i="31"/>
  <c r="AN31" i="31"/>
  <c r="AP31" i="31"/>
  <c r="AR31" i="31"/>
  <c r="AV31" i="31"/>
  <c r="AX31" i="31"/>
  <c r="AJ32" i="31"/>
  <c r="AL32" i="31"/>
  <c r="AN32" i="31"/>
  <c r="AP32" i="31"/>
  <c r="AR32" i="31"/>
  <c r="AV32" i="31"/>
  <c r="AX32" i="31"/>
  <c r="AZ32" i="31"/>
  <c r="AJ33" i="31"/>
  <c r="AL33" i="31"/>
  <c r="AN33" i="31"/>
  <c r="AP33" i="31"/>
  <c r="AR33" i="31"/>
  <c r="AV33" i="31"/>
  <c r="AX33" i="31"/>
  <c r="AJ34" i="31"/>
  <c r="AL34" i="31"/>
  <c r="AN34" i="31"/>
  <c r="AP34" i="31"/>
  <c r="AR34" i="31"/>
  <c r="AV34" i="31"/>
  <c r="AX34" i="31"/>
  <c r="Y35" i="31"/>
  <c r="AC35" i="31"/>
  <c r="AG35" i="31"/>
  <c r="BL35" i="31"/>
  <c r="U37" i="31"/>
  <c r="E38" i="31"/>
  <c r="U32" i="31"/>
  <c r="U34" i="31"/>
  <c r="U35" i="31"/>
  <c r="W35" i="31"/>
  <c r="AA35" i="31"/>
  <c r="AE35" i="31"/>
  <c r="AJ35" i="31"/>
  <c r="AL35" i="31"/>
  <c r="AN35" i="31"/>
  <c r="AP35" i="31"/>
  <c r="AR35" i="31"/>
  <c r="AV35" i="31"/>
  <c r="AX35" i="31"/>
  <c r="AJ36" i="31"/>
  <c r="AL36" i="31"/>
  <c r="AN36" i="31"/>
  <c r="AP36" i="31"/>
  <c r="AR36" i="31"/>
  <c r="AV36" i="31"/>
  <c r="AX36" i="31"/>
  <c r="AJ37" i="31"/>
  <c r="AL37" i="31"/>
  <c r="AN37" i="31"/>
  <c r="AP37" i="31"/>
  <c r="AR37" i="31"/>
  <c r="AV37" i="31"/>
  <c r="AX37" i="31"/>
  <c r="E39" i="31"/>
  <c r="E40" i="31"/>
  <c r="E41" i="31"/>
  <c r="U41" i="31"/>
  <c r="Y41" i="31"/>
  <c r="AC41" i="31"/>
  <c r="AG41" i="31"/>
  <c r="E44" i="31"/>
  <c r="U44" i="31"/>
  <c r="AJ38" i="31"/>
  <c r="AL38" i="31"/>
  <c r="AN38" i="31"/>
  <c r="AP38" i="31"/>
  <c r="AR38" i="31"/>
  <c r="AV38" i="31"/>
  <c r="AX38" i="31"/>
  <c r="AJ39" i="31"/>
  <c r="AL39" i="31"/>
  <c r="AN39" i="31"/>
  <c r="AP39" i="31"/>
  <c r="AR39" i="31"/>
  <c r="AV39" i="31"/>
  <c r="AX39" i="31"/>
  <c r="AJ40" i="31"/>
  <c r="AL40" i="31"/>
  <c r="AN40" i="31"/>
  <c r="AP40" i="31"/>
  <c r="AR40" i="31"/>
  <c r="AV40" i="31"/>
  <c r="AX40" i="31"/>
  <c r="AA41" i="31"/>
  <c r="AE41" i="31"/>
  <c r="AJ41" i="31"/>
  <c r="AL41" i="31"/>
  <c r="AN41" i="31"/>
  <c r="AP41" i="31"/>
  <c r="AR41" i="31"/>
  <c r="AV41" i="31"/>
  <c r="AX41" i="31"/>
  <c r="AJ42" i="31"/>
  <c r="AL42" i="31"/>
  <c r="AN42" i="31"/>
  <c r="AP42" i="31"/>
  <c r="AR42" i="31"/>
  <c r="AV42" i="31"/>
  <c r="AX42" i="31"/>
  <c r="AJ43" i="31"/>
  <c r="AL43" i="31"/>
  <c r="AN43" i="31"/>
  <c r="AP43" i="31"/>
  <c r="AR43" i="31"/>
  <c r="AV43" i="31"/>
  <c r="AX43" i="31"/>
  <c r="AZ44" i="31"/>
  <c r="AX44" i="31"/>
  <c r="AV44" i="31"/>
  <c r="AJ44" i="31"/>
  <c r="AL44" i="31"/>
  <c r="AN44" i="31"/>
  <c r="AP44" i="31"/>
  <c r="AR44" i="31"/>
  <c r="AJ45" i="31"/>
  <c r="AL45" i="31"/>
  <c r="AN45" i="31"/>
  <c r="AP45" i="31"/>
  <c r="AR45" i="31"/>
  <c r="AV45" i="31"/>
  <c r="AX45" i="31"/>
  <c r="AJ46" i="31"/>
  <c r="AL46" i="31"/>
  <c r="AN46" i="31"/>
  <c r="AP46" i="31"/>
  <c r="AR46" i="31"/>
  <c r="AV46" i="31"/>
  <c r="AX46" i="31"/>
  <c r="AV47" i="31"/>
  <c r="AX47" i="31"/>
  <c r="U45" i="31"/>
  <c r="U46" i="31"/>
  <c r="E47" i="31"/>
  <c r="U47" i="31"/>
  <c r="AA47" i="31"/>
  <c r="AC47" i="31"/>
  <c r="AE47" i="31"/>
  <c r="AG47" i="31"/>
  <c r="BL49" i="31" l="1"/>
  <c r="AZ50" i="31"/>
  <c r="AX50" i="31"/>
  <c r="M64" i="31"/>
  <c r="AV52" i="31"/>
  <c r="M63" i="31"/>
  <c r="AP50" i="31"/>
  <c r="AN52" i="31"/>
  <c r="AN50" i="31"/>
  <c r="AI52" i="31"/>
  <c r="AJ49" i="31"/>
  <c r="BO49" i="31"/>
  <c r="BE49" i="31"/>
  <c r="BG49" i="31"/>
  <c r="BC49" i="31"/>
  <c r="BC50" i="31" s="1"/>
  <c r="AE49" i="31"/>
  <c r="AE50" i="31" s="1"/>
  <c r="AA49" i="31"/>
  <c r="W49" i="31"/>
  <c r="W50" i="31" s="1"/>
  <c r="S49" i="31"/>
  <c r="S50" i="31" s="1"/>
  <c r="O49" i="31"/>
  <c r="K49" i="31"/>
  <c r="G49" i="31"/>
  <c r="AG49" i="31"/>
  <c r="AC49" i="31"/>
  <c r="Y49" i="31"/>
  <c r="T52" i="31"/>
  <c r="U49" i="31"/>
  <c r="Q49" i="31"/>
  <c r="Q50" i="31" s="1"/>
  <c r="M49" i="31"/>
  <c r="I49" i="31"/>
  <c r="E49" i="31"/>
  <c r="P68" i="30"/>
  <c r="R68" i="30" s="1"/>
  <c r="BG47" i="30"/>
  <c r="BE47" i="30"/>
  <c r="BC47" i="30"/>
  <c r="AZ47" i="30"/>
  <c r="AG47" i="30"/>
  <c r="AE47" i="30"/>
  <c r="AC47" i="30"/>
  <c r="AA47" i="30"/>
  <c r="Y47" i="30"/>
  <c r="W47" i="30"/>
  <c r="S47" i="30"/>
  <c r="Q47" i="30"/>
  <c r="O47" i="30"/>
  <c r="M47" i="30"/>
  <c r="K47" i="30"/>
  <c r="I47" i="30"/>
  <c r="G47" i="30"/>
  <c r="BL46" i="30"/>
  <c r="BG46" i="30"/>
  <c r="AZ46" i="30"/>
  <c r="AX46" i="30"/>
  <c r="AV46" i="30"/>
  <c r="AR46" i="30"/>
  <c r="AP46" i="30"/>
  <c r="AN46" i="30"/>
  <c r="AL46" i="30"/>
  <c r="AJ46" i="30"/>
  <c r="BG45" i="30"/>
  <c r="BE45" i="30"/>
  <c r="BC45" i="30"/>
  <c r="AP45" i="30"/>
  <c r="AN45" i="30"/>
  <c r="AL45" i="30"/>
  <c r="AJ45" i="30"/>
  <c r="AZ45" i="30"/>
  <c r="AE45" i="30"/>
  <c r="AC45" i="30"/>
  <c r="AA45" i="30"/>
  <c r="Y45" i="30"/>
  <c r="W45" i="30"/>
  <c r="S45" i="30"/>
  <c r="Q45" i="30"/>
  <c r="O45" i="30"/>
  <c r="M45" i="30"/>
  <c r="K45" i="30"/>
  <c r="I45" i="30"/>
  <c r="G45" i="30"/>
  <c r="BL44" i="30"/>
  <c r="BG44" i="30"/>
  <c r="AZ44" i="30"/>
  <c r="AX44" i="30"/>
  <c r="AV44" i="30"/>
  <c r="AR44" i="30"/>
  <c r="AP44" i="30"/>
  <c r="AN44" i="30"/>
  <c r="AL44" i="30"/>
  <c r="BG43" i="30"/>
  <c r="BE43" i="30"/>
  <c r="BC43" i="30"/>
  <c r="AG43" i="30"/>
  <c r="AE43" i="30"/>
  <c r="AC43" i="30"/>
  <c r="AA43" i="30"/>
  <c r="Y43" i="30"/>
  <c r="W43" i="30"/>
  <c r="U43" i="30"/>
  <c r="S43" i="30"/>
  <c r="Q43" i="30"/>
  <c r="O43" i="30"/>
  <c r="M43" i="30"/>
  <c r="K43" i="30"/>
  <c r="I43" i="30"/>
  <c r="G43" i="30"/>
  <c r="BL43" i="30"/>
  <c r="BL42" i="30"/>
  <c r="BG42" i="30"/>
  <c r="AZ42" i="30"/>
  <c r="AX42" i="30"/>
  <c r="AV42" i="30"/>
  <c r="AR42" i="30"/>
  <c r="AP42" i="30"/>
  <c r="AN42" i="30"/>
  <c r="AL42" i="30"/>
  <c r="AJ42" i="30"/>
  <c r="AG42" i="30"/>
  <c r="BG41" i="30"/>
  <c r="BE41" i="30"/>
  <c r="BC41" i="30"/>
  <c r="AZ41" i="30"/>
  <c r="AG41" i="30"/>
  <c r="AE41" i="30"/>
  <c r="AC41" i="30"/>
  <c r="AA41" i="30"/>
  <c r="Y41" i="30"/>
  <c r="W41" i="30"/>
  <c r="U41" i="30"/>
  <c r="S41" i="30"/>
  <c r="Q41" i="30"/>
  <c r="O41" i="30"/>
  <c r="M41" i="30"/>
  <c r="K41" i="30"/>
  <c r="I41" i="30"/>
  <c r="G41" i="30"/>
  <c r="BL41" i="30"/>
  <c r="BL40" i="30"/>
  <c r="BG40" i="30"/>
  <c r="AZ40" i="30"/>
  <c r="AX40" i="30"/>
  <c r="AV40" i="30"/>
  <c r="AR40" i="30"/>
  <c r="AP40" i="30"/>
  <c r="AN40" i="30"/>
  <c r="AL40" i="30"/>
  <c r="AJ40" i="30"/>
  <c r="AG40" i="30"/>
  <c r="BG39" i="30"/>
  <c r="BE39" i="30"/>
  <c r="BC39" i="30"/>
  <c r="AZ39" i="30"/>
  <c r="AG39" i="30"/>
  <c r="AE39" i="30"/>
  <c r="AC39" i="30"/>
  <c r="AA39" i="30"/>
  <c r="Y39" i="30"/>
  <c r="W39" i="30"/>
  <c r="U39" i="30"/>
  <c r="S39" i="30"/>
  <c r="Q39" i="30"/>
  <c r="O39" i="30"/>
  <c r="M39" i="30"/>
  <c r="K39" i="30"/>
  <c r="I39" i="30"/>
  <c r="G39" i="30"/>
  <c r="BL39" i="30"/>
  <c r="BL38" i="30"/>
  <c r="BG38" i="30"/>
  <c r="AZ38" i="30"/>
  <c r="AX38" i="30"/>
  <c r="AV38" i="30"/>
  <c r="AR38" i="30"/>
  <c r="AP38" i="30"/>
  <c r="AN38" i="30"/>
  <c r="AL38" i="30"/>
  <c r="AJ38" i="30"/>
  <c r="AG38" i="30"/>
  <c r="BG37" i="30"/>
  <c r="BE37" i="30"/>
  <c r="BC37" i="30"/>
  <c r="AZ37" i="30"/>
  <c r="AG37" i="30"/>
  <c r="AE37" i="30"/>
  <c r="AC37" i="30"/>
  <c r="AA37" i="30"/>
  <c r="Y37" i="30"/>
  <c r="W37" i="30"/>
  <c r="S37" i="30"/>
  <c r="Q37" i="30"/>
  <c r="O37" i="30"/>
  <c r="M37" i="30"/>
  <c r="K37" i="30"/>
  <c r="I37" i="30"/>
  <c r="G37" i="30"/>
  <c r="BG36" i="30"/>
  <c r="AZ36" i="30"/>
  <c r="AX36" i="30"/>
  <c r="AV36" i="30"/>
  <c r="AR36" i="30"/>
  <c r="AP36" i="30"/>
  <c r="AN36" i="30"/>
  <c r="AL36" i="30"/>
  <c r="AJ36" i="30"/>
  <c r="AG36" i="30"/>
  <c r="BL35" i="30"/>
  <c r="BE35" i="30"/>
  <c r="BC35" i="30"/>
  <c r="BG35" i="30"/>
  <c r="AX35" i="30"/>
  <c r="AV35" i="30"/>
  <c r="AR35" i="30"/>
  <c r="AP35" i="30"/>
  <c r="AN35" i="30"/>
  <c r="AL35" i="30"/>
  <c r="AJ35" i="30"/>
  <c r="AZ35" i="30"/>
  <c r="W35" i="30"/>
  <c r="S35" i="30"/>
  <c r="Q35" i="30"/>
  <c r="O35" i="30"/>
  <c r="M35" i="30"/>
  <c r="K35" i="30"/>
  <c r="I35" i="30"/>
  <c r="G35" i="30"/>
  <c r="BL34" i="30"/>
  <c r="BG34" i="30"/>
  <c r="AZ34" i="30"/>
  <c r="AX34" i="30"/>
  <c r="AV34" i="30"/>
  <c r="AR34" i="30"/>
  <c r="AP34" i="30"/>
  <c r="AN34" i="30"/>
  <c r="AL34" i="30"/>
  <c r="AJ34" i="30"/>
  <c r="BG33" i="30"/>
  <c r="BE33" i="30"/>
  <c r="BC33" i="30"/>
  <c r="AR33" i="30"/>
  <c r="AP33" i="30"/>
  <c r="AN33" i="30"/>
  <c r="AL33" i="30"/>
  <c r="AJ33" i="30"/>
  <c r="AZ33" i="30"/>
  <c r="AC33" i="30"/>
  <c r="AA33" i="30"/>
  <c r="Y33" i="30"/>
  <c r="W33" i="30"/>
  <c r="U33" i="30"/>
  <c r="S33" i="30"/>
  <c r="Q33" i="30"/>
  <c r="O33" i="30"/>
  <c r="M33" i="30"/>
  <c r="K33" i="30"/>
  <c r="I33" i="30"/>
  <c r="G33" i="30"/>
  <c r="AG33" i="30"/>
  <c r="BL32" i="30"/>
  <c r="BG32" i="30"/>
  <c r="AZ32" i="30"/>
  <c r="AX32" i="30"/>
  <c r="AV32" i="30"/>
  <c r="AR32" i="30"/>
  <c r="AP32" i="30"/>
  <c r="AN32" i="30"/>
  <c r="AL32" i="30"/>
  <c r="BG31" i="30"/>
  <c r="BE31" i="30"/>
  <c r="BC31" i="30"/>
  <c r="AL31" i="30"/>
  <c r="AJ31" i="30"/>
  <c r="AZ31" i="30"/>
  <c r="AG31" i="30"/>
  <c r="AE31" i="30"/>
  <c r="AC31" i="30"/>
  <c r="AA31" i="30"/>
  <c r="Y31" i="30"/>
  <c r="W31" i="30"/>
  <c r="U31" i="30"/>
  <c r="S31" i="30"/>
  <c r="Q31" i="30"/>
  <c r="O31" i="30"/>
  <c r="M31" i="30"/>
  <c r="K31" i="30"/>
  <c r="I31" i="30"/>
  <c r="G31" i="30"/>
  <c r="BL31" i="30"/>
  <c r="BL30" i="30"/>
  <c r="BG30" i="30"/>
  <c r="AZ30" i="30"/>
  <c r="AX30" i="30"/>
  <c r="AV30" i="30"/>
  <c r="AR30" i="30"/>
  <c r="AP30" i="30"/>
  <c r="AN30" i="30"/>
  <c r="AL30" i="30"/>
  <c r="AJ30" i="30"/>
  <c r="AG30" i="30"/>
  <c r="BG29" i="30"/>
  <c r="BE29" i="30"/>
  <c r="BC29" i="30"/>
  <c r="AL29" i="30"/>
  <c r="AJ29" i="30"/>
  <c r="AZ29" i="30"/>
  <c r="AG29" i="30"/>
  <c r="AE29" i="30"/>
  <c r="AC29" i="30"/>
  <c r="AA29" i="30"/>
  <c r="Y29" i="30"/>
  <c r="W29" i="30"/>
  <c r="S29" i="30"/>
  <c r="Q29" i="30"/>
  <c r="O29" i="30"/>
  <c r="M29" i="30"/>
  <c r="K29" i="30"/>
  <c r="I29" i="30"/>
  <c r="G29" i="30"/>
  <c r="BL28" i="30"/>
  <c r="BG28" i="30"/>
  <c r="AZ28" i="30"/>
  <c r="AX28" i="30"/>
  <c r="AV28" i="30"/>
  <c r="AR28" i="30"/>
  <c r="AP28" i="30"/>
  <c r="AN28" i="30"/>
  <c r="AL28" i="30"/>
  <c r="AJ28" i="30"/>
  <c r="BG27" i="30"/>
  <c r="BE27" i="30"/>
  <c r="BC27" i="30"/>
  <c r="AP27" i="30"/>
  <c r="AN27" i="30"/>
  <c r="AL27" i="30"/>
  <c r="AJ27" i="30"/>
  <c r="AZ27" i="30"/>
  <c r="AC27" i="30"/>
  <c r="AA27" i="30"/>
  <c r="Y27" i="30"/>
  <c r="W27" i="30"/>
  <c r="U27" i="30"/>
  <c r="S27" i="30"/>
  <c r="Q27" i="30"/>
  <c r="O27" i="30"/>
  <c r="M27" i="30"/>
  <c r="K27" i="30"/>
  <c r="I27" i="30"/>
  <c r="G27" i="30"/>
  <c r="AG27" i="30"/>
  <c r="BL26" i="30"/>
  <c r="BG26" i="30"/>
  <c r="AZ26" i="30"/>
  <c r="AX26" i="30"/>
  <c r="AV26" i="30"/>
  <c r="AR26" i="30"/>
  <c r="AP26" i="30"/>
  <c r="AN26" i="30"/>
  <c r="AL26" i="30"/>
  <c r="AJ26" i="30"/>
  <c r="AG26" i="30"/>
  <c r="BG25" i="30"/>
  <c r="BE25" i="30"/>
  <c r="BC25" i="30"/>
  <c r="AL25" i="30"/>
  <c r="AJ25" i="30"/>
  <c r="AZ25" i="30"/>
  <c r="AG25" i="30"/>
  <c r="AE25" i="30"/>
  <c r="AC25" i="30"/>
  <c r="AA25" i="30"/>
  <c r="Y25" i="30"/>
  <c r="W25" i="30"/>
  <c r="S25" i="30"/>
  <c r="Q25" i="30"/>
  <c r="O25" i="30"/>
  <c r="M25" i="30"/>
  <c r="K25" i="30"/>
  <c r="I25" i="30"/>
  <c r="G25" i="30"/>
  <c r="BL24" i="30"/>
  <c r="BG24" i="30"/>
  <c r="AZ24" i="30"/>
  <c r="AX24" i="30"/>
  <c r="AV24" i="30"/>
  <c r="AR24" i="30"/>
  <c r="AP24" i="30"/>
  <c r="AN24" i="30"/>
  <c r="AL24" i="30"/>
  <c r="AJ24" i="30"/>
  <c r="AG24" i="30"/>
  <c r="BG23" i="30"/>
  <c r="BE23" i="30"/>
  <c r="BC23" i="30"/>
  <c r="AJ23" i="30"/>
  <c r="AZ23" i="30"/>
  <c r="AG23" i="30"/>
  <c r="AE23" i="30"/>
  <c r="AC23" i="30"/>
  <c r="AA23" i="30"/>
  <c r="Y23" i="30"/>
  <c r="W23" i="30"/>
  <c r="S23" i="30"/>
  <c r="Q23" i="30"/>
  <c r="O23" i="30"/>
  <c r="M23" i="30"/>
  <c r="K23" i="30"/>
  <c r="I23" i="30"/>
  <c r="G23" i="30"/>
  <c r="BL22" i="30"/>
  <c r="BG22" i="30"/>
  <c r="AZ22" i="30"/>
  <c r="AX22" i="30"/>
  <c r="AV22" i="30"/>
  <c r="AR22" i="30"/>
  <c r="AP22" i="30"/>
  <c r="AN22" i="30"/>
  <c r="AL22" i="30"/>
  <c r="AJ22" i="30"/>
  <c r="BG21" i="30"/>
  <c r="BE21" i="30"/>
  <c r="BC21" i="30"/>
  <c r="G21" i="30"/>
  <c r="BL20" i="30"/>
  <c r="BC20" i="30"/>
  <c r="BG20" i="30"/>
  <c r="AZ20" i="30"/>
  <c r="AX20" i="30"/>
  <c r="AV20" i="30"/>
  <c r="AR20" i="30"/>
  <c r="AP20" i="30"/>
  <c r="AN20" i="30"/>
  <c r="AL20" i="30"/>
  <c r="AJ20" i="30"/>
  <c r="U20" i="30"/>
  <c r="S20" i="30"/>
  <c r="Q20" i="30"/>
  <c r="O20" i="30"/>
  <c r="M20" i="30"/>
  <c r="K20" i="30"/>
  <c r="I20" i="30"/>
  <c r="G20" i="30"/>
  <c r="AG20" i="30"/>
  <c r="BL19" i="30"/>
  <c r="BG19" i="30"/>
  <c r="AZ19" i="30"/>
  <c r="AX19" i="30"/>
  <c r="AV19" i="30"/>
  <c r="AR19" i="30"/>
  <c r="AP19" i="30"/>
  <c r="AN19" i="30"/>
  <c r="AL19" i="30"/>
  <c r="AJ19" i="30"/>
  <c r="I19" i="30"/>
  <c r="G19" i="30"/>
  <c r="AG19" i="30"/>
  <c r="BL18" i="30"/>
  <c r="BE18" i="30"/>
  <c r="BC18" i="30"/>
  <c r="BG18" i="30"/>
  <c r="AZ18" i="30"/>
  <c r="AX18" i="30"/>
  <c r="AV18" i="30"/>
  <c r="AR18" i="30"/>
  <c r="AP18" i="30"/>
  <c r="AN18" i="30"/>
  <c r="AL18" i="30"/>
  <c r="AJ18" i="30"/>
  <c r="W18" i="30"/>
  <c r="U18" i="30"/>
  <c r="S18" i="30"/>
  <c r="Q18" i="30"/>
  <c r="O18" i="30"/>
  <c r="M18" i="30"/>
  <c r="K18" i="30"/>
  <c r="I18" i="30"/>
  <c r="G18" i="30"/>
  <c r="AG18" i="30"/>
  <c r="BL17" i="30"/>
  <c r="BG17" i="30"/>
  <c r="AZ17" i="30"/>
  <c r="AX17" i="30"/>
  <c r="AV17" i="30"/>
  <c r="AR17" i="30"/>
  <c r="AP17" i="30"/>
  <c r="AN17" i="30"/>
  <c r="AL17" i="30"/>
  <c r="G17" i="30"/>
  <c r="BL16" i="30"/>
  <c r="BE16" i="30"/>
  <c r="BC16" i="30"/>
  <c r="BG16" i="30"/>
  <c r="AZ16" i="30"/>
  <c r="AX16" i="30"/>
  <c r="AV16" i="30"/>
  <c r="AR16" i="30"/>
  <c r="AP16" i="30"/>
  <c r="AN16" i="30"/>
  <c r="AL16" i="30"/>
  <c r="AJ16" i="30"/>
  <c r="U16" i="30"/>
  <c r="S16" i="30"/>
  <c r="Q16" i="30"/>
  <c r="O16" i="30"/>
  <c r="M16" i="30"/>
  <c r="K16" i="30"/>
  <c r="I16" i="30"/>
  <c r="G16" i="30"/>
  <c r="AG16" i="30"/>
  <c r="BL15" i="30"/>
  <c r="BG15" i="30"/>
  <c r="AZ15" i="30"/>
  <c r="AX15" i="30"/>
  <c r="AV15" i="30"/>
  <c r="AR15" i="30"/>
  <c r="AP15" i="30"/>
  <c r="AN15" i="30"/>
  <c r="AL15" i="30"/>
  <c r="AJ15" i="30"/>
  <c r="G15" i="30"/>
  <c r="AG15" i="30"/>
  <c r="BL14" i="30"/>
  <c r="BE14" i="30"/>
  <c r="BC14" i="30"/>
  <c r="BG14" i="30"/>
  <c r="AZ14" i="30"/>
  <c r="AX14" i="30"/>
  <c r="AV14" i="30"/>
  <c r="AR14" i="30"/>
  <c r="AP14" i="30"/>
  <c r="AN14" i="30"/>
  <c r="AL14" i="30"/>
  <c r="S14" i="30"/>
  <c r="Q14" i="30"/>
  <c r="O14" i="30"/>
  <c r="M14" i="30"/>
  <c r="K14" i="30"/>
  <c r="I14" i="30"/>
  <c r="G14" i="30"/>
  <c r="BL13" i="30"/>
  <c r="BG13" i="30"/>
  <c r="BE13" i="30"/>
  <c r="BC13" i="30"/>
  <c r="AZ13" i="30"/>
  <c r="AG13" i="30"/>
  <c r="AE13" i="30"/>
  <c r="AC13" i="30"/>
  <c r="AA13" i="30"/>
  <c r="Y13" i="30"/>
  <c r="W13" i="30"/>
  <c r="S13" i="30"/>
  <c r="Q13" i="30"/>
  <c r="O13" i="30"/>
  <c r="M13" i="30"/>
  <c r="K13" i="30"/>
  <c r="I13" i="30"/>
  <c r="G13" i="30"/>
  <c r="BL12" i="30"/>
  <c r="BG12" i="30"/>
  <c r="AZ12" i="30"/>
  <c r="AX12" i="30"/>
  <c r="AV12" i="30"/>
  <c r="AR12" i="30"/>
  <c r="AP12" i="30"/>
  <c r="AN12" i="30"/>
  <c r="AL12" i="30"/>
  <c r="AJ12" i="30"/>
  <c r="AG12" i="30"/>
  <c r="BL11" i="30"/>
  <c r="M60" i="31" l="1"/>
  <c r="U50" i="31"/>
  <c r="U52" i="31"/>
  <c r="Y50" i="31"/>
  <c r="M61" i="31"/>
  <c r="AG50" i="31"/>
  <c r="M57" i="31"/>
  <c r="K50" i="31"/>
  <c r="M56" i="31"/>
  <c r="E50" i="31"/>
  <c r="M58" i="31"/>
  <c r="M59" i="31"/>
  <c r="O50" i="31"/>
  <c r="M65" i="31"/>
  <c r="BG52" i="31"/>
  <c r="BG50" i="31"/>
  <c r="BE50" i="31"/>
  <c r="M62" i="31"/>
  <c r="AJ52" i="31"/>
  <c r="AJ50" i="31"/>
  <c r="D71" i="30"/>
  <c r="D49" i="30"/>
  <c r="H71" i="30"/>
  <c r="H49" i="30"/>
  <c r="L71" i="30"/>
  <c r="L49" i="30"/>
  <c r="P71" i="30"/>
  <c r="P49" i="30"/>
  <c r="T71" i="30"/>
  <c r="T72" i="30"/>
  <c r="T49" i="30"/>
  <c r="X71" i="30"/>
  <c r="X49" i="30"/>
  <c r="AB71" i="30"/>
  <c r="AB49" i="30"/>
  <c r="AH71" i="30"/>
  <c r="AH72" i="30"/>
  <c r="AH49" i="30"/>
  <c r="AJ11" i="30"/>
  <c r="AL11" i="30"/>
  <c r="AN11" i="30"/>
  <c r="AP11" i="30"/>
  <c r="AR11" i="30"/>
  <c r="BB71" i="30"/>
  <c r="BB49" i="30"/>
  <c r="BF71" i="30"/>
  <c r="BF49" i="30"/>
  <c r="BJ71" i="30"/>
  <c r="BJ49" i="30"/>
  <c r="E12" i="30"/>
  <c r="G12" i="30"/>
  <c r="I12" i="30"/>
  <c r="K12" i="30"/>
  <c r="M12" i="30"/>
  <c r="O12" i="30"/>
  <c r="Q12" i="30"/>
  <c r="S12" i="30"/>
  <c r="U12" i="30"/>
  <c r="W12" i="30"/>
  <c r="Y12" i="30"/>
  <c r="AA12" i="30"/>
  <c r="AC12" i="30"/>
  <c r="AE12" i="30"/>
  <c r="BC12" i="30"/>
  <c r="BE12" i="30"/>
  <c r="AJ13" i="30"/>
  <c r="AL13" i="30"/>
  <c r="AN13" i="30"/>
  <c r="AP13" i="30"/>
  <c r="AR13" i="30"/>
  <c r="AV13" i="30"/>
  <c r="AX13" i="30"/>
  <c r="E14" i="30"/>
  <c r="U14" i="30"/>
  <c r="W14" i="30"/>
  <c r="Y14" i="30"/>
  <c r="AA14" i="30"/>
  <c r="AC14" i="30"/>
  <c r="AE14" i="30"/>
  <c r="AG14" i="30"/>
  <c r="E16" i="30"/>
  <c r="W16" i="30"/>
  <c r="Y16" i="30"/>
  <c r="AA16" i="30"/>
  <c r="AC16" i="30"/>
  <c r="AE16" i="30"/>
  <c r="AJ17" i="30"/>
  <c r="E18" i="30"/>
  <c r="Y18" i="30"/>
  <c r="AA18" i="30"/>
  <c r="AC18" i="30"/>
  <c r="AE18" i="30"/>
  <c r="E20" i="30"/>
  <c r="W20" i="30"/>
  <c r="Y20" i="30"/>
  <c r="AA20" i="30"/>
  <c r="AC20" i="30"/>
  <c r="AE20" i="30"/>
  <c r="BE20" i="30"/>
  <c r="I21" i="30"/>
  <c r="M21" i="30"/>
  <c r="Q21" i="30"/>
  <c r="U21" i="30"/>
  <c r="Y21" i="30"/>
  <c r="AC21" i="30"/>
  <c r="AG21" i="30"/>
  <c r="F71" i="30"/>
  <c r="F49" i="30"/>
  <c r="J71" i="30"/>
  <c r="J49" i="30"/>
  <c r="N71" i="30"/>
  <c r="N49" i="30"/>
  <c r="R71" i="30"/>
  <c r="R49" i="30"/>
  <c r="V71" i="30"/>
  <c r="V49" i="30"/>
  <c r="Z71" i="30"/>
  <c r="Z49" i="30"/>
  <c r="AD71" i="30"/>
  <c r="AD49" i="30"/>
  <c r="AF71" i="30"/>
  <c r="AF49" i="30"/>
  <c r="AT71" i="30"/>
  <c r="AT49" i="30"/>
  <c r="AV11" i="30"/>
  <c r="AX11" i="30"/>
  <c r="AZ11" i="30"/>
  <c r="BD71" i="30"/>
  <c r="BD49" i="30"/>
  <c r="BH71" i="30"/>
  <c r="BH49" i="30"/>
  <c r="BN71" i="30"/>
  <c r="BN49" i="30"/>
  <c r="C71" i="30"/>
  <c r="C49" i="30"/>
  <c r="E11" i="30"/>
  <c r="G11" i="30"/>
  <c r="I11" i="30"/>
  <c r="K11" i="30"/>
  <c r="M11" i="30"/>
  <c r="O11" i="30"/>
  <c r="Q11" i="30"/>
  <c r="S11" i="30"/>
  <c r="U11" i="30"/>
  <c r="W11" i="30"/>
  <c r="Y11" i="30"/>
  <c r="AA11" i="30"/>
  <c r="AC11" i="30"/>
  <c r="AE11" i="30"/>
  <c r="AG11" i="30"/>
  <c r="AI72" i="30"/>
  <c r="AJ72" i="30" s="1"/>
  <c r="AI71" i="30"/>
  <c r="AJ71" i="30" s="1"/>
  <c r="AI49" i="30"/>
  <c r="AK71" i="30"/>
  <c r="AL71" i="30" s="1"/>
  <c r="AK49" i="30"/>
  <c r="AM71" i="30"/>
  <c r="AN71" i="30" s="1"/>
  <c r="AM49" i="30"/>
  <c r="AO71" i="30"/>
  <c r="AP71" i="30" s="1"/>
  <c r="R65" i="30" s="1"/>
  <c r="AO49" i="30"/>
  <c r="AQ71" i="30"/>
  <c r="AR71" i="30" s="1"/>
  <c r="AQ49" i="30"/>
  <c r="AS71" i="30"/>
  <c r="AS49" i="30"/>
  <c r="AU71" i="30"/>
  <c r="AV71" i="30" s="1"/>
  <c r="AU49" i="30"/>
  <c r="AW71" i="30"/>
  <c r="AX71" i="30" s="1"/>
  <c r="AW49" i="30"/>
  <c r="AY71" i="30"/>
  <c r="AZ71" i="30" s="1"/>
  <c r="AY49" i="30"/>
  <c r="BA71" i="30"/>
  <c r="BA49" i="30"/>
  <c r="BC11" i="30"/>
  <c r="BE11" i="30"/>
  <c r="BG11" i="30"/>
  <c r="BI71" i="30"/>
  <c r="BI49" i="30"/>
  <c r="BK71" i="30"/>
  <c r="BK49" i="30"/>
  <c r="BL49" i="30" s="1"/>
  <c r="BM71" i="30"/>
  <c r="BM49" i="30"/>
  <c r="BO71" i="30"/>
  <c r="BO49" i="30"/>
  <c r="E13" i="30"/>
  <c r="U13" i="30"/>
  <c r="AJ14" i="30"/>
  <c r="E15" i="30"/>
  <c r="I15" i="30"/>
  <c r="K15" i="30"/>
  <c r="M15" i="30"/>
  <c r="O15" i="30"/>
  <c r="Q15" i="30"/>
  <c r="S15" i="30"/>
  <c r="U15" i="30"/>
  <c r="W15" i="30"/>
  <c r="Y15" i="30"/>
  <c r="AA15" i="30"/>
  <c r="AC15" i="30"/>
  <c r="AE15" i="30"/>
  <c r="BC15" i="30"/>
  <c r="BE15" i="30"/>
  <c r="E17" i="30"/>
  <c r="I17" i="30"/>
  <c r="K17" i="30"/>
  <c r="M17" i="30"/>
  <c r="O17" i="30"/>
  <c r="Q17" i="30"/>
  <c r="S17" i="30"/>
  <c r="U17" i="30"/>
  <c r="W17" i="30"/>
  <c r="Y17" i="30"/>
  <c r="AA17" i="30"/>
  <c r="AC17" i="30"/>
  <c r="AE17" i="30"/>
  <c r="AG17" i="30"/>
  <c r="BC17" i="30"/>
  <c r="BE17" i="30"/>
  <c r="E19" i="30"/>
  <c r="K19" i="30"/>
  <c r="M19" i="30"/>
  <c r="O19" i="30"/>
  <c r="Q19" i="30"/>
  <c r="S19" i="30"/>
  <c r="U19" i="30"/>
  <c r="W19" i="30"/>
  <c r="Y19" i="30"/>
  <c r="AA19" i="30"/>
  <c r="AC19" i="30"/>
  <c r="AE19" i="30"/>
  <c r="BC19" i="30"/>
  <c r="BE19" i="30"/>
  <c r="BL21" i="30"/>
  <c r="E21" i="30"/>
  <c r="K21" i="30"/>
  <c r="O21" i="30"/>
  <c r="S21" i="30"/>
  <c r="W21" i="30"/>
  <c r="AA21" i="30"/>
  <c r="AE21" i="30"/>
  <c r="AZ21" i="30"/>
  <c r="AX21" i="30"/>
  <c r="AV21" i="30"/>
  <c r="AJ21" i="30"/>
  <c r="AL21" i="30"/>
  <c r="AN21" i="30"/>
  <c r="AP21" i="30"/>
  <c r="AR21" i="30"/>
  <c r="E22" i="30"/>
  <c r="G22" i="30"/>
  <c r="I22" i="30"/>
  <c r="K22" i="30"/>
  <c r="M22" i="30"/>
  <c r="O22" i="30"/>
  <c r="Q22" i="30"/>
  <c r="S22" i="30"/>
  <c r="U22" i="30"/>
  <c r="W22" i="30"/>
  <c r="Y22" i="30"/>
  <c r="AA22" i="30"/>
  <c r="AC22" i="30"/>
  <c r="AE22" i="30"/>
  <c r="AG22" i="30"/>
  <c r="BC22" i="30"/>
  <c r="BE22" i="30"/>
  <c r="AL23" i="30"/>
  <c r="AN23" i="30"/>
  <c r="AP23" i="30"/>
  <c r="AR23" i="30"/>
  <c r="AV23" i="30"/>
  <c r="AX23" i="30"/>
  <c r="BL23" i="30"/>
  <c r="E24" i="30"/>
  <c r="G24" i="30"/>
  <c r="I24" i="30"/>
  <c r="K24" i="30"/>
  <c r="M24" i="30"/>
  <c r="O24" i="30"/>
  <c r="Q24" i="30"/>
  <c r="S24" i="30"/>
  <c r="U24" i="30"/>
  <c r="W24" i="30"/>
  <c r="Y24" i="30"/>
  <c r="AA24" i="30"/>
  <c r="AC24" i="30"/>
  <c r="AE24" i="30"/>
  <c r="BC24" i="30"/>
  <c r="BE24" i="30"/>
  <c r="AN25" i="30"/>
  <c r="AP25" i="30"/>
  <c r="AR25" i="30"/>
  <c r="AV25" i="30"/>
  <c r="AX25" i="30"/>
  <c r="BL25" i="30"/>
  <c r="E26" i="30"/>
  <c r="G26" i="30"/>
  <c r="I26" i="30"/>
  <c r="K26" i="30"/>
  <c r="M26" i="30"/>
  <c r="O26" i="30"/>
  <c r="Q26" i="30"/>
  <c r="S26" i="30"/>
  <c r="U26" i="30"/>
  <c r="W26" i="30"/>
  <c r="Y26" i="30"/>
  <c r="AA26" i="30"/>
  <c r="AC26" i="30"/>
  <c r="AE26" i="30"/>
  <c r="BC26" i="30"/>
  <c r="BE26" i="30"/>
  <c r="AR27" i="30"/>
  <c r="AV27" i="30"/>
  <c r="AX27" i="30"/>
  <c r="BL27" i="30"/>
  <c r="E28" i="30"/>
  <c r="G28" i="30"/>
  <c r="I28" i="30"/>
  <c r="K28" i="30"/>
  <c r="M28" i="30"/>
  <c r="O28" i="30"/>
  <c r="Q28" i="30"/>
  <c r="S28" i="30"/>
  <c r="U28" i="30"/>
  <c r="W28" i="30"/>
  <c r="Y28" i="30"/>
  <c r="AA28" i="30"/>
  <c r="AC28" i="30"/>
  <c r="AE28" i="30"/>
  <c r="AG28" i="30"/>
  <c r="BC28" i="30"/>
  <c r="BE28" i="30"/>
  <c r="AN29" i="30"/>
  <c r="AP29" i="30"/>
  <c r="AR29" i="30"/>
  <c r="AV29" i="30"/>
  <c r="AX29" i="30"/>
  <c r="BL29" i="30"/>
  <c r="E30" i="30"/>
  <c r="G30" i="30"/>
  <c r="I30" i="30"/>
  <c r="K30" i="30"/>
  <c r="M30" i="30"/>
  <c r="O30" i="30"/>
  <c r="Q30" i="30"/>
  <c r="S30" i="30"/>
  <c r="U30" i="30"/>
  <c r="W30" i="30"/>
  <c r="Y30" i="30"/>
  <c r="AA30" i="30"/>
  <c r="AC30" i="30"/>
  <c r="AE30" i="30"/>
  <c r="BC30" i="30"/>
  <c r="BE30" i="30"/>
  <c r="AN31" i="30"/>
  <c r="AP31" i="30"/>
  <c r="AR31" i="30"/>
  <c r="AV31" i="30"/>
  <c r="AX31" i="30"/>
  <c r="E32" i="30"/>
  <c r="G32" i="30"/>
  <c r="I32" i="30"/>
  <c r="K32" i="30"/>
  <c r="M32" i="30"/>
  <c r="O32" i="30"/>
  <c r="Q32" i="30"/>
  <c r="S32" i="30"/>
  <c r="U32" i="30"/>
  <c r="W32" i="30"/>
  <c r="Y32" i="30"/>
  <c r="AA32" i="30"/>
  <c r="AC32" i="30"/>
  <c r="AE32" i="30"/>
  <c r="AG32" i="30"/>
  <c r="BC32" i="30"/>
  <c r="BE32" i="30"/>
  <c r="AV33" i="30"/>
  <c r="AX33" i="30"/>
  <c r="BL33" i="30"/>
  <c r="E34" i="30"/>
  <c r="G34" i="30"/>
  <c r="I34" i="30"/>
  <c r="K34" i="30"/>
  <c r="M34" i="30"/>
  <c r="O34" i="30"/>
  <c r="Q34" i="30"/>
  <c r="S34" i="30"/>
  <c r="U34" i="30"/>
  <c r="W34" i="30"/>
  <c r="Y34" i="30"/>
  <c r="AA34" i="30"/>
  <c r="AC34" i="30"/>
  <c r="AE34" i="30"/>
  <c r="AG34" i="30"/>
  <c r="BC34" i="30"/>
  <c r="BE34" i="30"/>
  <c r="BL36" i="30"/>
  <c r="E23" i="30"/>
  <c r="U23" i="30"/>
  <c r="E25" i="30"/>
  <c r="U25" i="30"/>
  <c r="E27" i="30"/>
  <c r="AE27" i="30"/>
  <c r="E29" i="30"/>
  <c r="U29" i="30"/>
  <c r="E31" i="30"/>
  <c r="AJ32" i="30"/>
  <c r="E33" i="30"/>
  <c r="AE33" i="30"/>
  <c r="E35" i="30"/>
  <c r="U35" i="30"/>
  <c r="Y35" i="30"/>
  <c r="AA35" i="30"/>
  <c r="AC35" i="30"/>
  <c r="AE35" i="30"/>
  <c r="AG35" i="30"/>
  <c r="E36" i="30"/>
  <c r="G36" i="30"/>
  <c r="I36" i="30"/>
  <c r="K36" i="30"/>
  <c r="M36" i="30"/>
  <c r="O36" i="30"/>
  <c r="Q36" i="30"/>
  <c r="S36" i="30"/>
  <c r="U36" i="30"/>
  <c r="W36" i="30"/>
  <c r="Y36" i="30"/>
  <c r="AA36" i="30"/>
  <c r="AC36" i="30"/>
  <c r="AE36" i="30"/>
  <c r="BC36" i="30"/>
  <c r="BE36" i="30"/>
  <c r="AJ37" i="30"/>
  <c r="AL37" i="30"/>
  <c r="AN37" i="30"/>
  <c r="AP37" i="30"/>
  <c r="AR37" i="30"/>
  <c r="AV37" i="30"/>
  <c r="AX37" i="30"/>
  <c r="BL37" i="30"/>
  <c r="E38" i="30"/>
  <c r="G38" i="30"/>
  <c r="I38" i="30"/>
  <c r="K38" i="30"/>
  <c r="M38" i="30"/>
  <c r="O38" i="30"/>
  <c r="Q38" i="30"/>
  <c r="S38" i="30"/>
  <c r="U38" i="30"/>
  <c r="W38" i="30"/>
  <c r="Y38" i="30"/>
  <c r="AA38" i="30"/>
  <c r="AC38" i="30"/>
  <c r="AE38" i="30"/>
  <c r="BC38" i="30"/>
  <c r="BE38" i="30"/>
  <c r="AJ39" i="30"/>
  <c r="AL39" i="30"/>
  <c r="AN39" i="30"/>
  <c r="AP39" i="30"/>
  <c r="AR39" i="30"/>
  <c r="AV39" i="30"/>
  <c r="AX39" i="30"/>
  <c r="E40" i="30"/>
  <c r="G40" i="30"/>
  <c r="I40" i="30"/>
  <c r="K40" i="30"/>
  <c r="M40" i="30"/>
  <c r="O40" i="30"/>
  <c r="Q40" i="30"/>
  <c r="S40" i="30"/>
  <c r="U40" i="30"/>
  <c r="W40" i="30"/>
  <c r="Y40" i="30"/>
  <c r="AA40" i="30"/>
  <c r="AC40" i="30"/>
  <c r="AE40" i="30"/>
  <c r="BC40" i="30"/>
  <c r="BE40" i="30"/>
  <c r="AJ41" i="30"/>
  <c r="AL41" i="30"/>
  <c r="AN41" i="30"/>
  <c r="AP41" i="30"/>
  <c r="AR41" i="30"/>
  <c r="AV41" i="30"/>
  <c r="AX41" i="30"/>
  <c r="E42" i="30"/>
  <c r="G42" i="30"/>
  <c r="I42" i="30"/>
  <c r="K42" i="30"/>
  <c r="M42" i="30"/>
  <c r="O42" i="30"/>
  <c r="Q42" i="30"/>
  <c r="S42" i="30"/>
  <c r="U42" i="30"/>
  <c r="W42" i="30"/>
  <c r="Y42" i="30"/>
  <c r="AA42" i="30"/>
  <c r="AC42" i="30"/>
  <c r="AE42" i="30"/>
  <c r="BC42" i="30"/>
  <c r="BE42" i="30"/>
  <c r="AZ43" i="30"/>
  <c r="AX43" i="30"/>
  <c r="AV43" i="30"/>
  <c r="AR43" i="30"/>
  <c r="AL43" i="30"/>
  <c r="AP43" i="30"/>
  <c r="E37" i="30"/>
  <c r="U37" i="30"/>
  <c r="E39" i="30"/>
  <c r="E41" i="30"/>
  <c r="E43" i="30"/>
  <c r="AJ43" i="30"/>
  <c r="AN43" i="30"/>
  <c r="E44" i="30"/>
  <c r="G44" i="30"/>
  <c r="I44" i="30"/>
  <c r="K44" i="30"/>
  <c r="M44" i="30"/>
  <c r="O44" i="30"/>
  <c r="Q44" i="30"/>
  <c r="S44" i="30"/>
  <c r="U44" i="30"/>
  <c r="W44" i="30"/>
  <c r="Y44" i="30"/>
  <c r="AA44" i="30"/>
  <c r="AC44" i="30"/>
  <c r="AE44" i="30"/>
  <c r="AG44" i="30"/>
  <c r="BC44" i="30"/>
  <c r="BE44" i="30"/>
  <c r="AR45" i="30"/>
  <c r="AV45" i="30"/>
  <c r="AX45" i="30"/>
  <c r="BL45" i="30"/>
  <c r="E46" i="30"/>
  <c r="G46" i="30"/>
  <c r="I46" i="30"/>
  <c r="K46" i="30"/>
  <c r="M46" i="30"/>
  <c r="O46" i="30"/>
  <c r="Q46" i="30"/>
  <c r="S46" i="30"/>
  <c r="U46" i="30"/>
  <c r="W46" i="30"/>
  <c r="Y46" i="30"/>
  <c r="AA46" i="30"/>
  <c r="AC46" i="30"/>
  <c r="AE46" i="30"/>
  <c r="AG46" i="30"/>
  <c r="BC46" i="30"/>
  <c r="BE46" i="30"/>
  <c r="AJ47" i="30"/>
  <c r="AL47" i="30"/>
  <c r="AN47" i="30"/>
  <c r="AP47" i="30"/>
  <c r="AR47" i="30"/>
  <c r="AV47" i="30"/>
  <c r="AX47" i="30"/>
  <c r="BL47" i="30"/>
  <c r="AJ44" i="30"/>
  <c r="E45" i="30"/>
  <c r="U45" i="30"/>
  <c r="AG45" i="30"/>
  <c r="E47" i="30"/>
  <c r="U47" i="30"/>
  <c r="BL71" i="30" l="1"/>
  <c r="AZ49" i="30"/>
  <c r="AZ50" i="30" s="1"/>
  <c r="AX49" i="30"/>
  <c r="AX50" i="30" s="1"/>
  <c r="AV49" i="30"/>
  <c r="AV70" i="30" s="1"/>
  <c r="AR49" i="30"/>
  <c r="AP49" i="30"/>
  <c r="AP50" i="30" s="1"/>
  <c r="AN49" i="30"/>
  <c r="AN50" i="30" s="1"/>
  <c r="AL49" i="30"/>
  <c r="AG71" i="30"/>
  <c r="R63" i="30" s="1"/>
  <c r="AE71" i="30"/>
  <c r="AA71" i="30"/>
  <c r="W71" i="30"/>
  <c r="S71" i="30"/>
  <c r="O71" i="30"/>
  <c r="K71" i="30"/>
  <c r="R59" i="30" s="1"/>
  <c r="R66" i="30"/>
  <c r="R64" i="30"/>
  <c r="BE71" i="30"/>
  <c r="AG49" i="30"/>
  <c r="AE49" i="30"/>
  <c r="AE50" i="30" s="1"/>
  <c r="AA49" i="30"/>
  <c r="W49" i="30"/>
  <c r="W50" i="30" s="1"/>
  <c r="S49" i="30"/>
  <c r="S50" i="30" s="1"/>
  <c r="O49" i="30"/>
  <c r="K49" i="30"/>
  <c r="G49" i="30"/>
  <c r="BG49" i="30"/>
  <c r="BC49" i="30"/>
  <c r="BC50" i="30" s="1"/>
  <c r="AC49" i="30"/>
  <c r="Y49" i="30"/>
  <c r="T52" i="30"/>
  <c r="U49" i="30"/>
  <c r="U71" i="30"/>
  <c r="Q49" i="30"/>
  <c r="Q50" i="30" s="1"/>
  <c r="M49" i="30"/>
  <c r="I49" i="30"/>
  <c r="E49" i="30"/>
  <c r="AZ70" i="30"/>
  <c r="AX70" i="30"/>
  <c r="P66" i="30"/>
  <c r="P65" i="30"/>
  <c r="AN52" i="30"/>
  <c r="AI52" i="30"/>
  <c r="AJ49" i="30"/>
  <c r="BE49" i="30"/>
  <c r="R61" i="30"/>
  <c r="G71" i="30"/>
  <c r="BG71" i="30"/>
  <c r="BC71" i="30"/>
  <c r="AC71" i="30"/>
  <c r="Y71" i="30"/>
  <c r="U72" i="30"/>
  <c r="Q71" i="30"/>
  <c r="M71" i="30"/>
  <c r="I71" i="30"/>
  <c r="E71" i="30"/>
  <c r="AV52" i="30" l="1"/>
  <c r="E70" i="30"/>
  <c r="E52" i="30"/>
  <c r="P58" i="30"/>
  <c r="E50" i="30"/>
  <c r="M70" i="30"/>
  <c r="P60" i="30"/>
  <c r="R62" i="30"/>
  <c r="BG70" i="30"/>
  <c r="P67" i="30"/>
  <c r="BG52" i="30"/>
  <c r="BG50" i="30"/>
  <c r="O70" i="30"/>
  <c r="O52" i="30"/>
  <c r="P61" i="30"/>
  <c r="O50" i="30"/>
  <c r="R58" i="30"/>
  <c r="R60" i="30"/>
  <c r="R67" i="30"/>
  <c r="BE70" i="30"/>
  <c r="BE50" i="30"/>
  <c r="AJ70" i="30"/>
  <c r="AJ52" i="30"/>
  <c r="P64" i="30"/>
  <c r="AJ50" i="30"/>
  <c r="U70" i="30"/>
  <c r="P62" i="30"/>
  <c r="U50" i="30"/>
  <c r="U52" i="30"/>
  <c r="Y50" i="30"/>
  <c r="Y70" i="30"/>
  <c r="P59" i="30"/>
  <c r="K50" i="30"/>
  <c r="K70" i="30"/>
  <c r="AG70" i="30"/>
  <c r="P63" i="30"/>
  <c r="AG50" i="30"/>
  <c r="M74" i="29" l="1"/>
  <c r="BA47" i="29"/>
  <c r="BH45" i="29"/>
  <c r="BC44" i="29"/>
  <c r="E44" i="29"/>
  <c r="AY43" i="29"/>
  <c r="AV43" i="29"/>
  <c r="AY40" i="29"/>
  <c r="AA40" i="29"/>
  <c r="AA39" i="29"/>
  <c r="AC38" i="29"/>
  <c r="U36" i="29"/>
  <c r="M36" i="29"/>
  <c r="E36" i="29"/>
  <c r="U33" i="29"/>
  <c r="AJ29" i="29"/>
  <c r="AH29" i="29"/>
  <c r="BH28" i="29"/>
  <c r="AY27" i="29"/>
  <c r="Q26" i="29"/>
  <c r="I26" i="29"/>
  <c r="BC25" i="29"/>
  <c r="AA25" i="29"/>
  <c r="AJ24" i="29"/>
  <c r="AA24" i="29"/>
  <c r="O23" i="29"/>
  <c r="AA22" i="29"/>
  <c r="AA21" i="29"/>
  <c r="AA20" i="29"/>
  <c r="AC18" i="29"/>
  <c r="AJ17" i="29"/>
  <c r="AJ13" i="29"/>
  <c r="AA13" i="29"/>
  <c r="BC12" i="29"/>
  <c r="M12" i="29"/>
  <c r="O12" i="29"/>
  <c r="AV12" i="29"/>
  <c r="BA43" i="29"/>
  <c r="E12" i="29"/>
  <c r="G12" i="29"/>
  <c r="AT41" i="29"/>
  <c r="Y42" i="29"/>
  <c r="K37" i="29"/>
  <c r="BJ17" i="29"/>
  <c r="M17" i="29"/>
  <c r="E33" i="29"/>
  <c r="AJ14" i="29"/>
  <c r="AC15" i="29"/>
  <c r="I16" i="29"/>
  <c r="AY25" i="29"/>
  <c r="M26" i="29"/>
  <c r="U26" i="29"/>
  <c r="AJ26" i="29"/>
  <c r="AJ34" i="29"/>
  <c r="BC35" i="29"/>
  <c r="BA40" i="29"/>
  <c r="M29" i="29"/>
  <c r="Q33" i="29"/>
  <c r="AF37" i="29"/>
  <c r="AH40" i="29"/>
  <c r="BC40" i="29"/>
  <c r="AV42" i="29"/>
  <c r="M23" i="29"/>
  <c r="U23" i="29"/>
  <c r="AC23" i="29"/>
  <c r="BC23" i="29"/>
  <c r="AH24" i="29"/>
  <c r="AV24" i="29"/>
  <c r="BC24" i="29"/>
  <c r="I25" i="29"/>
  <c r="G26" i="29"/>
  <c r="W26" i="29"/>
  <c r="AJ27" i="29"/>
  <c r="BC31" i="29"/>
  <c r="AV34" i="29"/>
  <c r="AF35" i="29"/>
  <c r="G36" i="29"/>
  <c r="O36" i="29"/>
  <c r="W36" i="29"/>
  <c r="AY36" i="29"/>
  <c r="E37" i="29"/>
  <c r="S37" i="29"/>
  <c r="AA37" i="29"/>
  <c r="AH37" i="29"/>
  <c r="I38" i="29"/>
  <c r="Y38" i="29"/>
  <c r="AJ39" i="29"/>
  <c r="AJ40" i="29"/>
  <c r="G43" i="29"/>
  <c r="M44" i="29"/>
  <c r="U44" i="29"/>
  <c r="BC45" i="29"/>
  <c r="G47" i="29"/>
  <c r="AY47" i="29"/>
  <c r="AJ12" i="29"/>
  <c r="AH13" i="29"/>
  <c r="AV13" i="29"/>
  <c r="BC13" i="29"/>
  <c r="G19" i="29"/>
  <c r="O19" i="29"/>
  <c r="BA37" i="29"/>
  <c r="Y39" i="29"/>
  <c r="AF39" i="29"/>
  <c r="AJ41" i="29"/>
  <c r="Y43" i="29"/>
  <c r="BC46" i="29"/>
  <c r="I47" i="29"/>
  <c r="Q47" i="29"/>
  <c r="I19" i="29"/>
  <c r="AY20" i="29"/>
  <c r="BJ21" i="29"/>
  <c r="M21" i="29"/>
  <c r="AJ21" i="29"/>
  <c r="BC22" i="29"/>
  <c r="I23" i="29"/>
  <c r="Q23" i="29"/>
  <c r="Y23" i="29"/>
  <c r="AH26" i="29"/>
  <c r="AF27" i="29"/>
  <c r="AT27" i="29"/>
  <c r="AV29" i="29"/>
  <c r="BH29" i="29"/>
  <c r="I30" i="29"/>
  <c r="Q30" i="29"/>
  <c r="AF30" i="29"/>
  <c r="AY31" i="29"/>
  <c r="BH39" i="29"/>
  <c r="BA24" i="29"/>
  <c r="G25" i="29"/>
  <c r="O25" i="29"/>
  <c r="AC26" i="29"/>
  <c r="W27" i="29"/>
  <c r="AH27" i="29"/>
  <c r="AV27" i="29"/>
  <c r="AV30" i="29"/>
  <c r="AC39" i="29"/>
  <c r="AV40" i="29"/>
  <c r="AY42" i="29"/>
  <c r="M43" i="29"/>
  <c r="U43" i="29"/>
  <c r="AF45" i="29"/>
  <c r="AY46" i="29"/>
  <c r="U47" i="29"/>
  <c r="AC47" i="29"/>
  <c r="BC17" i="29"/>
  <c r="BH17" i="29"/>
  <c r="AF15" i="29"/>
  <c r="Q22" i="29"/>
  <c r="Y22" i="29"/>
  <c r="AT15" i="29"/>
  <c r="BJ14" i="29"/>
  <c r="BC14" i="29"/>
  <c r="AH15" i="29"/>
  <c r="AV15" i="29"/>
  <c r="AF16" i="29"/>
  <c r="AT16" i="29"/>
  <c r="BA16" i="29"/>
  <c r="G17" i="29"/>
  <c r="O17" i="29"/>
  <c r="M14" i="29"/>
  <c r="I42" i="29"/>
  <c r="Q42" i="29"/>
  <c r="BA20" i="29"/>
  <c r="G21" i="29"/>
  <c r="AY21" i="29"/>
  <c r="M22" i="29"/>
  <c r="S22" i="29"/>
  <c r="AH22" i="29"/>
  <c r="AV22" i="29"/>
  <c r="BH22" i="29"/>
  <c r="BH25" i="29"/>
  <c r="BA27" i="29"/>
  <c r="BC27" i="29"/>
  <c r="U29" i="29"/>
  <c r="AC29" i="29"/>
  <c r="AH30" i="29"/>
  <c r="BA30" i="29"/>
  <c r="BH31" i="29"/>
  <c r="BA32" i="29"/>
  <c r="M33" i="29"/>
  <c r="Y33" i="29"/>
  <c r="AF33" i="29"/>
  <c r="AT33" i="29"/>
  <c r="G34" i="29"/>
  <c r="O34" i="29"/>
  <c r="W34" i="29"/>
  <c r="AH35" i="29"/>
  <c r="AV35" i="29"/>
  <c r="BJ37" i="29"/>
  <c r="AL39" i="29"/>
  <c r="AR39" i="29"/>
  <c r="BJ42" i="29"/>
  <c r="K42" i="29"/>
  <c r="AF47" i="29"/>
  <c r="AY17" i="29"/>
  <c r="BC11" i="29"/>
  <c r="AF13" i="29"/>
  <c r="AT13" i="29"/>
  <c r="G14" i="29"/>
  <c r="O14" i="29"/>
  <c r="AJ15" i="29"/>
  <c r="BA15" i="29"/>
  <c r="AC16" i="29"/>
  <c r="AH16" i="29"/>
  <c r="BC16" i="29"/>
  <c r="G18" i="29"/>
  <c r="O18" i="29"/>
  <c r="W18" i="29"/>
  <c r="AY18" i="29"/>
  <c r="E19" i="29"/>
  <c r="AJ19" i="29"/>
  <c r="BA19" i="29"/>
  <c r="AH20" i="29"/>
  <c r="AV20" i="29"/>
  <c r="BC20" i="29"/>
  <c r="I21" i="29"/>
  <c r="G22" i="29"/>
  <c r="U22" i="29"/>
  <c r="AC22" i="29"/>
  <c r="AJ22" i="29"/>
  <c r="BA22" i="29"/>
  <c r="AA23" i="29"/>
  <c r="AY24" i="29"/>
  <c r="BJ25" i="29"/>
  <c r="M25" i="29"/>
  <c r="AJ25" i="29"/>
  <c r="BA25" i="29"/>
  <c r="Y26" i="29"/>
  <c r="BC28" i="29"/>
  <c r="I29" i="29"/>
  <c r="AJ30" i="29"/>
  <c r="BC30" i="29"/>
  <c r="AF31" i="29"/>
  <c r="AT31" i="29"/>
  <c r="BC32" i="29"/>
  <c r="AH33" i="29"/>
  <c r="AV33" i="29"/>
  <c r="BH33" i="29"/>
  <c r="I34" i="29"/>
  <c r="Q34" i="29"/>
  <c r="Y34" i="29"/>
  <c r="AF34" i="29"/>
  <c r="AY34" i="29"/>
  <c r="BJ35" i="29"/>
  <c r="AJ35" i="29"/>
  <c r="BA35" i="29"/>
  <c r="BC36" i="29"/>
  <c r="O37" i="29"/>
  <c r="AT37" i="29"/>
  <c r="AL37" i="29"/>
  <c r="E38" i="29"/>
  <c r="U38" i="29"/>
  <c r="AJ38" i="29"/>
  <c r="BA38" i="29"/>
  <c r="AF41" i="29"/>
  <c r="U42" i="29"/>
  <c r="AC43" i="29"/>
  <c r="I44" i="29"/>
  <c r="Y44" i="29"/>
  <c r="G45" i="29"/>
  <c r="AT45" i="29"/>
  <c r="AY45" i="29"/>
  <c r="BA46" i="29"/>
  <c r="Y47" i="29"/>
  <c r="BC47" i="29"/>
  <c r="AJ20" i="29"/>
  <c r="BC21" i="29"/>
  <c r="BH21" i="29"/>
  <c r="I22" i="29"/>
  <c r="W22" i="29"/>
  <c r="AV23" i="29"/>
  <c r="AV26" i="29"/>
  <c r="BC26" i="29"/>
  <c r="AJ28" i="29"/>
  <c r="AA29" i="29"/>
  <c r="Q29" i="29"/>
  <c r="Y29" i="29"/>
  <c r="AT30" i="29"/>
  <c r="AL30" i="29"/>
  <c r="AR30" i="29"/>
  <c r="AC31" i="29"/>
  <c r="AJ32" i="29"/>
  <c r="I33" i="29"/>
  <c r="AC33" i="29"/>
  <c r="AJ33" i="29"/>
  <c r="BH34" i="29"/>
  <c r="AH39" i="29"/>
  <c r="AV39" i="29"/>
  <c r="AC41" i="29"/>
  <c r="AV41" i="29"/>
  <c r="BC41" i="29"/>
  <c r="O42" i="29"/>
  <c r="BJ43" i="29"/>
  <c r="AV44" i="29"/>
  <c r="G46" i="29"/>
  <c r="O46" i="29"/>
  <c r="K15" i="29"/>
  <c r="K28" i="29"/>
  <c r="S28" i="29"/>
  <c r="AA28" i="29"/>
  <c r="AL18" i="29"/>
  <c r="AL23" i="29"/>
  <c r="AL12" i="29"/>
  <c r="AR12" i="29"/>
  <c r="AY12" i="29"/>
  <c r="BJ13" i="29"/>
  <c r="BA13" i="29"/>
  <c r="AL14" i="29"/>
  <c r="AR14" i="29"/>
  <c r="AY14" i="29"/>
  <c r="E15" i="29"/>
  <c r="K16" i="29"/>
  <c r="AL17" i="29"/>
  <c r="AR17" i="29"/>
  <c r="AF18" i="29"/>
  <c r="AT18" i="29"/>
  <c r="AL19" i="29"/>
  <c r="AR19" i="29"/>
  <c r="BJ20" i="29"/>
  <c r="M20" i="29"/>
  <c r="U20" i="29"/>
  <c r="AL21" i="29"/>
  <c r="AR21" i="29"/>
  <c r="K23" i="29"/>
  <c r="AF23" i="29"/>
  <c r="AT23" i="29"/>
  <c r="BJ24" i="29"/>
  <c r="M24" i="29"/>
  <c r="U24" i="29"/>
  <c r="AL25" i="29"/>
  <c r="AR25" i="29"/>
  <c r="S26" i="29"/>
  <c r="E28" i="29"/>
  <c r="M28" i="29"/>
  <c r="U28" i="29"/>
  <c r="AC28" i="29"/>
  <c r="BC29" i="29"/>
  <c r="BH30" i="29"/>
  <c r="K30" i="29"/>
  <c r="S30" i="29"/>
  <c r="AA30" i="29"/>
  <c r="AR23" i="29"/>
  <c r="K11" i="29"/>
  <c r="BG48" i="29"/>
  <c r="I12" i="29"/>
  <c r="Q12" i="29"/>
  <c r="AF12" i="29"/>
  <c r="AT12" i="29"/>
  <c r="BA12" i="29"/>
  <c r="G13" i="29"/>
  <c r="AL13" i="29"/>
  <c r="AR13" i="29"/>
  <c r="BH13" i="29"/>
  <c r="I14" i="29"/>
  <c r="AT14" i="29"/>
  <c r="BA14" i="29"/>
  <c r="G15" i="29"/>
  <c r="O15" i="29"/>
  <c r="AL15" i="29"/>
  <c r="AR15" i="29"/>
  <c r="E16" i="29"/>
  <c r="M16" i="29"/>
  <c r="AJ16" i="29"/>
  <c r="AY16" i="29"/>
  <c r="I17" i="29"/>
  <c r="AT17" i="29"/>
  <c r="K18" i="29"/>
  <c r="S18" i="29"/>
  <c r="AH18" i="29"/>
  <c r="AV18" i="29"/>
  <c r="BH18" i="29"/>
  <c r="AF19" i="29"/>
  <c r="AT19" i="29"/>
  <c r="G20" i="29"/>
  <c r="AL20" i="29"/>
  <c r="AR20" i="29"/>
  <c r="BH20" i="29"/>
  <c r="AF21" i="29"/>
  <c r="AT21" i="29"/>
  <c r="O22" i="29"/>
  <c r="AL22" i="29"/>
  <c r="AR22" i="29"/>
  <c r="AY22" i="29"/>
  <c r="E23" i="29"/>
  <c r="AH23" i="29"/>
  <c r="BA23" i="29"/>
  <c r="G24" i="29"/>
  <c r="AL24" i="29"/>
  <c r="AR24" i="29"/>
  <c r="BH24" i="29"/>
  <c r="AF25" i="29"/>
  <c r="AT25" i="29"/>
  <c r="BH26" i="29"/>
  <c r="O26" i="29"/>
  <c r="AL26" i="29"/>
  <c r="AR26" i="29"/>
  <c r="AY26" i="29"/>
  <c r="BJ27" i="29"/>
  <c r="G28" i="29"/>
  <c r="O28" i="29"/>
  <c r="W28" i="29"/>
  <c r="AV28" i="29"/>
  <c r="K32" i="29"/>
  <c r="S32" i="29"/>
  <c r="AA32" i="29"/>
  <c r="BH15" i="29"/>
  <c r="AR18" i="29"/>
  <c r="K20" i="29"/>
  <c r="BJ11" i="29"/>
  <c r="BD48" i="29"/>
  <c r="AC12" i="29"/>
  <c r="K12" i="29"/>
  <c r="S12" i="29"/>
  <c r="AH12" i="29"/>
  <c r="BH12" i="29"/>
  <c r="I13" i="29"/>
  <c r="AY13" i="29"/>
  <c r="K14" i="29"/>
  <c r="S14" i="29"/>
  <c r="AH14" i="29"/>
  <c r="AV14" i="29"/>
  <c r="BH14" i="29"/>
  <c r="G16" i="29"/>
  <c r="O16" i="29"/>
  <c r="AV16" i="29"/>
  <c r="AL16" i="29"/>
  <c r="AR16" i="29"/>
  <c r="K17" i="29"/>
  <c r="AH17" i="29"/>
  <c r="AV17" i="29"/>
  <c r="BA17" i="29"/>
  <c r="E18" i="29"/>
  <c r="AJ18" i="29"/>
  <c r="BA18" i="29"/>
  <c r="AC19" i="29"/>
  <c r="K19" i="29"/>
  <c r="AH19" i="29"/>
  <c r="AV19" i="29"/>
  <c r="BH19" i="29"/>
  <c r="I20" i="29"/>
  <c r="Q20" i="29"/>
  <c r="AF20" i="29"/>
  <c r="AT20" i="29"/>
  <c r="K21" i="29"/>
  <c r="AH21" i="29"/>
  <c r="AV21" i="29"/>
  <c r="BA21" i="29"/>
  <c r="E22" i="29"/>
  <c r="K22" i="29"/>
  <c r="AF22" i="29"/>
  <c r="AT22" i="29"/>
  <c r="G23" i="29"/>
  <c r="AJ23" i="29"/>
  <c r="BH23" i="29"/>
  <c r="I24" i="29"/>
  <c r="Q24" i="29"/>
  <c r="AF24" i="29"/>
  <c r="AT24" i="29"/>
  <c r="K25" i="29"/>
  <c r="AH25" i="29"/>
  <c r="AV25" i="29"/>
  <c r="K26" i="29"/>
  <c r="AF26" i="29"/>
  <c r="AT26" i="29"/>
  <c r="AL27" i="29"/>
  <c r="AR27" i="29"/>
  <c r="AR36" i="29"/>
  <c r="BH36" i="29"/>
  <c r="AR37" i="29"/>
  <c r="AY37" i="29"/>
  <c r="O38" i="29"/>
  <c r="AL38" i="29"/>
  <c r="AR38" i="29"/>
  <c r="AY38" i="29"/>
  <c r="BJ39" i="29"/>
  <c r="M39" i="29"/>
  <c r="E40" i="29"/>
  <c r="M40" i="29"/>
  <c r="U40" i="29"/>
  <c r="AC40" i="29"/>
  <c r="E41" i="29"/>
  <c r="BA41" i="29"/>
  <c r="E42" i="29"/>
  <c r="AA42" i="29"/>
  <c r="AF42" i="29"/>
  <c r="AT42" i="29"/>
  <c r="AL44" i="29"/>
  <c r="K45" i="29"/>
  <c r="S45" i="29"/>
  <c r="AR45" i="29"/>
  <c r="AJ46" i="29"/>
  <c r="O47" i="29"/>
  <c r="AA47" i="29"/>
  <c r="AY28" i="29"/>
  <c r="BJ29" i="29"/>
  <c r="AL29" i="29"/>
  <c r="AR29" i="29"/>
  <c r="BJ30" i="29"/>
  <c r="M30" i="29"/>
  <c r="U30" i="29"/>
  <c r="AC30" i="29"/>
  <c r="AH31" i="29"/>
  <c r="AV31" i="29"/>
  <c r="E32" i="29"/>
  <c r="M32" i="29"/>
  <c r="U32" i="29"/>
  <c r="AA33" i="29"/>
  <c r="BC33" i="29"/>
  <c r="K34" i="29"/>
  <c r="S34" i="29"/>
  <c r="AA34" i="29"/>
  <c r="BA34" i="29"/>
  <c r="AL35" i="29"/>
  <c r="AR35" i="29"/>
  <c r="BH35" i="29"/>
  <c r="I36" i="29"/>
  <c r="Q36" i="29"/>
  <c r="AF36" i="29"/>
  <c r="W37" i="29"/>
  <c r="K38" i="29"/>
  <c r="AA38" i="29"/>
  <c r="AF38" i="29"/>
  <c r="AT38" i="29"/>
  <c r="G39" i="29"/>
  <c r="BC39" i="29"/>
  <c r="AL40" i="29"/>
  <c r="AR40" i="29"/>
  <c r="BJ41" i="29"/>
  <c r="AR41" i="29"/>
  <c r="BH41" i="29"/>
  <c r="G42" i="29"/>
  <c r="W42" i="29"/>
  <c r="AH42" i="29"/>
  <c r="BC42" i="29"/>
  <c r="BH42" i="29"/>
  <c r="I43" i="29"/>
  <c r="AA43" i="29"/>
  <c r="M45" i="29"/>
  <c r="AL46" i="29"/>
  <c r="AR46" i="29"/>
  <c r="W47" i="29"/>
  <c r="AV47" i="29"/>
  <c r="BH47" i="29"/>
  <c r="I28" i="29"/>
  <c r="Q28" i="29"/>
  <c r="Y28" i="29"/>
  <c r="AF28" i="29"/>
  <c r="BA28" i="29"/>
  <c r="E29" i="29"/>
  <c r="AF29" i="29"/>
  <c r="AT29" i="29"/>
  <c r="G30" i="29"/>
  <c r="O30" i="29"/>
  <c r="W30" i="29"/>
  <c r="AY30" i="29"/>
  <c r="BJ31" i="29"/>
  <c r="AJ31" i="29"/>
  <c r="BA31" i="29"/>
  <c r="G32" i="29"/>
  <c r="O32" i="29"/>
  <c r="W32" i="29"/>
  <c r="AY32" i="29"/>
  <c r="BJ33" i="29"/>
  <c r="AL33" i="29"/>
  <c r="AR33" i="29"/>
  <c r="BJ34" i="29"/>
  <c r="M34" i="29"/>
  <c r="U34" i="29"/>
  <c r="AC34" i="29"/>
  <c r="AH34" i="29"/>
  <c r="BC34" i="29"/>
  <c r="AT35" i="29"/>
  <c r="AY35" i="29"/>
  <c r="AC36" i="29"/>
  <c r="K36" i="29"/>
  <c r="S36" i="29"/>
  <c r="AA36" i="29"/>
  <c r="AH36" i="29"/>
  <c r="AV36" i="29"/>
  <c r="BA36" i="29"/>
  <c r="BC37" i="29"/>
  <c r="G38" i="29"/>
  <c r="Q38" i="29"/>
  <c r="W38" i="29"/>
  <c r="AH38" i="29"/>
  <c r="AV38" i="29"/>
  <c r="BC38" i="29"/>
  <c r="BH38" i="29"/>
  <c r="I39" i="29"/>
  <c r="U39" i="29"/>
  <c r="AT39" i="29"/>
  <c r="I40" i="29"/>
  <c r="Q40" i="29"/>
  <c r="Y40" i="29"/>
  <c r="AF40" i="29"/>
  <c r="AT40" i="29"/>
  <c r="BH40" i="29"/>
  <c r="AY41" i="29"/>
  <c r="M42" i="29"/>
  <c r="S42" i="29"/>
  <c r="AC42" i="29"/>
  <c r="AJ42" i="29"/>
  <c r="BA42" i="29"/>
  <c r="Q43" i="29"/>
  <c r="BH43" i="29"/>
  <c r="Q44" i="29"/>
  <c r="AH44" i="29"/>
  <c r="AR44" i="29"/>
  <c r="O45" i="29"/>
  <c r="AC45" i="29"/>
  <c r="AF46" i="29"/>
  <c r="AT46" i="29"/>
  <c r="K47" i="29"/>
  <c r="S47" i="29"/>
  <c r="Y30" i="29"/>
  <c r="AL31" i="29"/>
  <c r="AR31" i="29"/>
  <c r="I32" i="29"/>
  <c r="Y32" i="29"/>
  <c r="AT34" i="29"/>
  <c r="AR34" i="29"/>
  <c r="AC35" i="29"/>
  <c r="AJ36" i="29"/>
  <c r="M38" i="29"/>
  <c r="S38" i="29"/>
  <c r="K39" i="29"/>
  <c r="Q39" i="29"/>
  <c r="AL42" i="29"/>
  <c r="AR42" i="29"/>
  <c r="AC44" i="29"/>
  <c r="AJ44" i="29"/>
  <c r="AT44" i="29"/>
  <c r="Q45" i="29"/>
  <c r="W45" i="29"/>
  <c r="AJ45" i="29"/>
  <c r="AV45" i="29"/>
  <c r="BA45" i="29"/>
  <c r="AH46" i="29"/>
  <c r="AV46" i="29"/>
  <c r="M47" i="29"/>
  <c r="AH47" i="29"/>
  <c r="F48" i="29"/>
  <c r="F61" i="29"/>
  <c r="AE62" i="29"/>
  <c r="AE48" i="29"/>
  <c r="AE61" i="29"/>
  <c r="AI48" i="29"/>
  <c r="AI61" i="29"/>
  <c r="AM48" i="29"/>
  <c r="AM61" i="29"/>
  <c r="AN61" i="29" s="1"/>
  <c r="AQ48" i="29"/>
  <c r="AQ61" i="29"/>
  <c r="AR61" i="29" s="1"/>
  <c r="M71" i="29" s="1"/>
  <c r="AU48" i="29"/>
  <c r="AU61" i="29"/>
  <c r="AV61" i="29" s="1"/>
  <c r="AY11" i="29"/>
  <c r="E13" i="29"/>
  <c r="M13" i="29"/>
  <c r="Q13" i="29"/>
  <c r="U13" i="29"/>
  <c r="Y13" i="29"/>
  <c r="AC13" i="29"/>
  <c r="AF14" i="29"/>
  <c r="S15" i="29"/>
  <c r="W15" i="29"/>
  <c r="AA15" i="29"/>
  <c r="AY15" i="29"/>
  <c r="BC15" i="29"/>
  <c r="BJ15" i="29"/>
  <c r="D61" i="29"/>
  <c r="D48" i="29"/>
  <c r="H61" i="29"/>
  <c r="H48" i="29"/>
  <c r="L61" i="29"/>
  <c r="L48" i="29"/>
  <c r="P61" i="29"/>
  <c r="P62" i="29"/>
  <c r="Q62" i="29" s="1"/>
  <c r="P48" i="29"/>
  <c r="T61" i="29"/>
  <c r="T48" i="29"/>
  <c r="X61" i="29"/>
  <c r="Y61" i="29" s="1"/>
  <c r="X48" i="29"/>
  <c r="AB61" i="29"/>
  <c r="AC61" i="29" s="1"/>
  <c r="M69" i="29" s="1"/>
  <c r="AB48" i="29"/>
  <c r="AF11" i="29"/>
  <c r="AJ11" i="29"/>
  <c r="AR11" i="29"/>
  <c r="AV11" i="29"/>
  <c r="AZ61" i="29"/>
  <c r="AZ48" i="29"/>
  <c r="BH11" i="29"/>
  <c r="W12" i="29"/>
  <c r="AA12" i="29"/>
  <c r="BJ12" i="29"/>
  <c r="E14" i="29"/>
  <c r="Q14" i="29"/>
  <c r="U14" i="29"/>
  <c r="Y14" i="29"/>
  <c r="AC14" i="29"/>
  <c r="S16" i="29"/>
  <c r="W16" i="29"/>
  <c r="AA16" i="29"/>
  <c r="BJ16" i="29"/>
  <c r="C62" i="29"/>
  <c r="C48" i="29"/>
  <c r="C61" i="29"/>
  <c r="G11" i="29"/>
  <c r="O11" i="29"/>
  <c r="S11" i="29"/>
  <c r="W11" i="29"/>
  <c r="AA11" i="29"/>
  <c r="E11" i="29"/>
  <c r="I11" i="29"/>
  <c r="M11" i="29"/>
  <c r="Q11" i="29"/>
  <c r="U11" i="29"/>
  <c r="Y11" i="29"/>
  <c r="AC11" i="29"/>
  <c r="AG61" i="29"/>
  <c r="AH61" i="29" s="1"/>
  <c r="AG48" i="29"/>
  <c r="AK61" i="29"/>
  <c r="AL61" i="29" s="1"/>
  <c r="M72" i="29" s="1"/>
  <c r="AK48" i="29"/>
  <c r="AO61" i="29"/>
  <c r="AO48" i="29"/>
  <c r="AS61" i="29"/>
  <c r="AS48" i="29"/>
  <c r="AW61" i="29"/>
  <c r="AW48" i="29"/>
  <c r="BA11" i="29"/>
  <c r="BE61" i="29"/>
  <c r="BE48" i="29"/>
  <c r="K13" i="29"/>
  <c r="O13" i="29"/>
  <c r="S13" i="29"/>
  <c r="W13" i="29"/>
  <c r="I15" i="29"/>
  <c r="M15" i="29"/>
  <c r="Q15" i="29"/>
  <c r="U15" i="29"/>
  <c r="Y15" i="29"/>
  <c r="J48" i="29"/>
  <c r="K48" i="29" s="1"/>
  <c r="J61" i="29"/>
  <c r="K61" i="29"/>
  <c r="M65" i="29" s="1"/>
  <c r="N48" i="29"/>
  <c r="N61" i="29"/>
  <c r="R48" i="29"/>
  <c r="R61" i="29"/>
  <c r="S61" i="29" s="1"/>
  <c r="V48" i="29"/>
  <c r="V61" i="29"/>
  <c r="W61" i="29" s="1"/>
  <c r="Z48" i="29"/>
  <c r="Z61" i="29"/>
  <c r="AA61" i="29" s="1"/>
  <c r="AD62" i="29"/>
  <c r="AD48" i="29"/>
  <c r="AV48" i="29" s="1"/>
  <c r="AV49" i="29" s="1"/>
  <c r="AD61" i="29"/>
  <c r="AH11" i="29"/>
  <c r="AL11" i="29"/>
  <c r="AP48" i="29"/>
  <c r="AP61" i="29"/>
  <c r="AT11" i="29"/>
  <c r="AX48" i="29"/>
  <c r="AX61" i="29"/>
  <c r="BB48" i="29"/>
  <c r="BB61" i="29"/>
  <c r="BC61" i="29" s="1"/>
  <c r="M73" i="29" s="1"/>
  <c r="BF48" i="29"/>
  <c r="BF61" i="29"/>
  <c r="U12" i="29"/>
  <c r="Y12" i="29"/>
  <c r="W14" i="29"/>
  <c r="AA14" i="29"/>
  <c r="Q16" i="29"/>
  <c r="U16" i="29"/>
  <c r="Y16" i="29"/>
  <c r="BH16" i="29"/>
  <c r="AF17" i="29"/>
  <c r="AA18" i="29"/>
  <c r="BC18" i="29"/>
  <c r="BJ18" i="29"/>
  <c r="E20" i="29"/>
  <c r="Y20" i="29"/>
  <c r="AC20" i="29"/>
  <c r="BJ22" i="29"/>
  <c r="E24" i="29"/>
  <c r="Y24" i="29"/>
  <c r="AC24" i="29"/>
  <c r="AA26" i="29"/>
  <c r="K27" i="29"/>
  <c r="AA27" i="29"/>
  <c r="E17" i="29"/>
  <c r="Q17" i="29"/>
  <c r="U17" i="29"/>
  <c r="Y17" i="29"/>
  <c r="AC17" i="29"/>
  <c r="S19" i="29"/>
  <c r="W19" i="29"/>
  <c r="AA19" i="29"/>
  <c r="AY19" i="29"/>
  <c r="BC19" i="29"/>
  <c r="BJ19" i="29"/>
  <c r="E21" i="29"/>
  <c r="Q21" i="29"/>
  <c r="U21" i="29"/>
  <c r="Y21" i="29"/>
  <c r="AC21" i="29"/>
  <c r="S23" i="29"/>
  <c r="W23" i="29"/>
  <c r="AY23" i="29"/>
  <c r="BJ23" i="29"/>
  <c r="E25" i="29"/>
  <c r="Q25" i="29"/>
  <c r="U25" i="29"/>
  <c r="Y25" i="29"/>
  <c r="AC25" i="29"/>
  <c r="BJ26" i="29"/>
  <c r="BA26" i="29"/>
  <c r="G27" i="29"/>
  <c r="I18" i="29"/>
  <c r="M18" i="29"/>
  <c r="Q18" i="29"/>
  <c r="U18" i="29"/>
  <c r="Y18" i="29"/>
  <c r="O20" i="29"/>
  <c r="S20" i="29"/>
  <c r="W20" i="29"/>
  <c r="K24" i="29"/>
  <c r="O24" i="29"/>
  <c r="S24" i="29"/>
  <c r="W24" i="29"/>
  <c r="E26" i="29"/>
  <c r="AC27" i="29"/>
  <c r="Y27" i="29"/>
  <c r="U27" i="29"/>
  <c r="Q27" i="29"/>
  <c r="M27" i="29"/>
  <c r="I27" i="29"/>
  <c r="E27" i="29"/>
  <c r="S27" i="29"/>
  <c r="BH27" i="29"/>
  <c r="S17" i="29"/>
  <c r="W17" i="29"/>
  <c r="AA17" i="29"/>
  <c r="M19" i="29"/>
  <c r="Q19" i="29"/>
  <c r="U19" i="29"/>
  <c r="Y19" i="29"/>
  <c r="O21" i="29"/>
  <c r="S21" i="29"/>
  <c r="W21" i="29"/>
  <c r="S25" i="29"/>
  <c r="W25" i="29"/>
  <c r="O27" i="29"/>
  <c r="AH28" i="29"/>
  <c r="AL28" i="29"/>
  <c r="AT28" i="29"/>
  <c r="BA29" i="29"/>
  <c r="G31" i="29"/>
  <c r="K31" i="29"/>
  <c r="O31" i="29"/>
  <c r="S31" i="29"/>
  <c r="W31" i="29"/>
  <c r="AA31" i="29"/>
  <c r="AH32" i="29"/>
  <c r="AL32" i="29"/>
  <c r="AT32" i="29"/>
  <c r="BA33" i="29"/>
  <c r="G35" i="29"/>
  <c r="K35" i="29"/>
  <c r="O35" i="29"/>
  <c r="S35" i="29"/>
  <c r="W35" i="29"/>
  <c r="AA35" i="29"/>
  <c r="AV37" i="29"/>
  <c r="BJ38" i="29"/>
  <c r="BJ28" i="29"/>
  <c r="E30" i="29"/>
  <c r="BJ32" i="29"/>
  <c r="E34" i="29"/>
  <c r="AR28" i="29"/>
  <c r="G29" i="29"/>
  <c r="K29" i="29"/>
  <c r="O29" i="29"/>
  <c r="S29" i="29"/>
  <c r="W29" i="29"/>
  <c r="AY29" i="29"/>
  <c r="E31" i="29"/>
  <c r="I31" i="29"/>
  <c r="M31" i="29"/>
  <c r="Q31" i="29"/>
  <c r="U31" i="29"/>
  <c r="Y31" i="29"/>
  <c r="AF32" i="29"/>
  <c r="AR32" i="29"/>
  <c r="AV32" i="29"/>
  <c r="BH32" i="29"/>
  <c r="G33" i="29"/>
  <c r="K33" i="29"/>
  <c r="O33" i="29"/>
  <c r="S33" i="29"/>
  <c r="W33" i="29"/>
  <c r="AY33" i="29"/>
  <c r="AL34" i="29"/>
  <c r="E35" i="29"/>
  <c r="I35" i="29"/>
  <c r="M35" i="29"/>
  <c r="Q35" i="29"/>
  <c r="U35" i="29"/>
  <c r="Y35" i="29"/>
  <c r="AT36" i="29"/>
  <c r="BJ36" i="29"/>
  <c r="G37" i="29"/>
  <c r="BH37" i="29"/>
  <c r="Q32" i="29"/>
  <c r="AC32" i="29"/>
  <c r="Y36" i="29"/>
  <c r="AL36" i="29"/>
  <c r="AC37" i="29"/>
  <c r="Y37" i="29"/>
  <c r="U37" i="29"/>
  <c r="Q37" i="29"/>
  <c r="M37" i="29"/>
  <c r="I37" i="29"/>
  <c r="AJ37" i="29"/>
  <c r="G40" i="29"/>
  <c r="K40" i="29"/>
  <c r="O40" i="29"/>
  <c r="S40" i="29"/>
  <c r="W40" i="29"/>
  <c r="BJ40" i="29"/>
  <c r="AH41" i="29"/>
  <c r="AL41" i="29"/>
  <c r="AH43" i="29"/>
  <c r="AL43" i="29"/>
  <c r="AT43" i="29"/>
  <c r="BH44" i="29"/>
  <c r="AA45" i="29"/>
  <c r="AC46" i="29"/>
  <c r="Y46" i="29"/>
  <c r="U46" i="29"/>
  <c r="Q46" i="29"/>
  <c r="M46" i="29"/>
  <c r="I46" i="29"/>
  <c r="E46" i="29"/>
  <c r="S46" i="29"/>
  <c r="BH46" i="29"/>
  <c r="BJ47" i="29"/>
  <c r="AJ47" i="29"/>
  <c r="AT47" i="29"/>
  <c r="E39" i="29"/>
  <c r="BA39" i="29"/>
  <c r="G41" i="29"/>
  <c r="K41" i="29"/>
  <c r="O41" i="29"/>
  <c r="S41" i="29"/>
  <c r="W41" i="29"/>
  <c r="AA41" i="29"/>
  <c r="E43" i="29"/>
  <c r="BA44" i="29"/>
  <c r="BJ44" i="29"/>
  <c r="W43" i="29"/>
  <c r="AF43" i="29"/>
  <c r="AJ43" i="29"/>
  <c r="AR43" i="29"/>
  <c r="G44" i="29"/>
  <c r="K44" i="29"/>
  <c r="O44" i="29"/>
  <c r="S44" i="29"/>
  <c r="W44" i="29"/>
  <c r="AA44" i="29"/>
  <c r="I45" i="29"/>
  <c r="Y45" i="29"/>
  <c r="K46" i="29"/>
  <c r="AA46" i="29"/>
  <c r="BJ46" i="29"/>
  <c r="AL47" i="29"/>
  <c r="AR47" i="29"/>
  <c r="O39" i="29"/>
  <c r="S39" i="29"/>
  <c r="W39" i="29"/>
  <c r="AY39" i="29"/>
  <c r="I41" i="29"/>
  <c r="M41" i="29"/>
  <c r="Q41" i="29"/>
  <c r="U41" i="29"/>
  <c r="Y41" i="29"/>
  <c r="K43" i="29"/>
  <c r="O43" i="29"/>
  <c r="S43" i="29"/>
  <c r="BC43" i="29"/>
  <c r="AF44" i="29"/>
  <c r="AY44" i="29"/>
  <c r="E45" i="29"/>
  <c r="U45" i="29"/>
  <c r="BJ45" i="29"/>
  <c r="W46" i="29"/>
  <c r="E47" i="29"/>
  <c r="AH45" i="29"/>
  <c r="AL45" i="29"/>
  <c r="O61" i="29"/>
  <c r="AF61" i="29"/>
  <c r="M70" i="29" s="1"/>
  <c r="BA48" i="29"/>
  <c r="BA49" i="29" s="1"/>
  <c r="U61" i="29"/>
  <c r="BC48" i="29"/>
  <c r="Q48" i="29"/>
  <c r="Q49" i="29" s="1"/>
  <c r="M61" i="29"/>
  <c r="E61" i="29"/>
  <c r="M67" i="29" s="1"/>
  <c r="AY48" i="29"/>
  <c r="AY49" i="29" s="1"/>
  <c r="I61" i="29"/>
  <c r="M64" i="29" s="1"/>
  <c r="BC49" i="29"/>
  <c r="C59" i="27"/>
  <c r="BL27" i="27" s="1"/>
  <c r="BL39" i="27"/>
  <c r="BE46" i="27"/>
  <c r="BC46" i="27"/>
  <c r="BA46" i="27"/>
  <c r="AX46" i="27"/>
  <c r="AV46" i="27"/>
  <c r="AT46" i="27"/>
  <c r="AP46" i="27"/>
  <c r="AN46" i="27"/>
  <c r="AL46" i="27"/>
  <c r="AJ46" i="27"/>
  <c r="AH46" i="27"/>
  <c r="AE46" i="27"/>
  <c r="AC46" i="27"/>
  <c r="AA46" i="27"/>
  <c r="Y46" i="27"/>
  <c r="W46" i="27"/>
  <c r="U46" i="27"/>
  <c r="S46" i="27"/>
  <c r="Q46" i="27"/>
  <c r="O46" i="27"/>
  <c r="M46" i="27"/>
  <c r="K46" i="27"/>
  <c r="I46" i="27"/>
  <c r="G46" i="27"/>
  <c r="E46" i="27"/>
  <c r="BE45" i="27"/>
  <c r="BC45" i="27"/>
  <c r="BA45" i="27"/>
  <c r="AX45" i="27"/>
  <c r="AT45" i="27"/>
  <c r="AP45" i="27"/>
  <c r="AL45" i="27"/>
  <c r="AH45" i="27"/>
  <c r="AV45" i="27"/>
  <c r="AE45" i="27"/>
  <c r="AC45" i="27"/>
  <c r="AA45" i="27"/>
  <c r="Y45" i="27"/>
  <c r="W45" i="27"/>
  <c r="U45" i="27"/>
  <c r="S45" i="27"/>
  <c r="Q45" i="27"/>
  <c r="O45" i="27"/>
  <c r="M45" i="27"/>
  <c r="K45" i="27"/>
  <c r="I45" i="27"/>
  <c r="G45" i="27"/>
  <c r="E45" i="27"/>
  <c r="BE44" i="27"/>
  <c r="BC44" i="27"/>
  <c r="BA44" i="27"/>
  <c r="AX44" i="27"/>
  <c r="AV44" i="27"/>
  <c r="AT44" i="27"/>
  <c r="AP44" i="27"/>
  <c r="AN44" i="27"/>
  <c r="AL44" i="27"/>
  <c r="AJ44" i="27"/>
  <c r="AH44" i="27"/>
  <c r="AC44" i="27"/>
  <c r="Y44" i="27"/>
  <c r="U44" i="27"/>
  <c r="Q44" i="27"/>
  <c r="M44" i="27"/>
  <c r="I44" i="27"/>
  <c r="E44" i="27"/>
  <c r="AE44" i="27"/>
  <c r="BE43" i="27"/>
  <c r="BA43" i="27"/>
  <c r="BC43" i="27"/>
  <c r="AV43" i="27"/>
  <c r="AL43" i="27"/>
  <c r="AN43" i="27"/>
  <c r="AC43" i="27"/>
  <c r="Y43" i="27"/>
  <c r="U43" i="27"/>
  <c r="Q43" i="27"/>
  <c r="M43" i="27"/>
  <c r="I43" i="27"/>
  <c r="E43" i="27"/>
  <c r="BE42" i="27"/>
  <c r="BA42" i="27"/>
  <c r="BC42" i="27"/>
  <c r="AV42" i="27"/>
  <c r="AT42" i="27"/>
  <c r="AN42" i="27"/>
  <c r="AL42" i="27"/>
  <c r="AJ42" i="27"/>
  <c r="AC42" i="27"/>
  <c r="Y42" i="27"/>
  <c r="U42" i="27"/>
  <c r="Q42" i="27"/>
  <c r="M42" i="27"/>
  <c r="I42" i="27"/>
  <c r="E42" i="27"/>
  <c r="AE42" i="27"/>
  <c r="BE41" i="27"/>
  <c r="BA41" i="27"/>
  <c r="BC41" i="27"/>
  <c r="AV41" i="27"/>
  <c r="AT41" i="27"/>
  <c r="AN41" i="27"/>
  <c r="AL41" i="27"/>
  <c r="AJ41" i="27"/>
  <c r="AC41" i="27"/>
  <c r="Y41" i="27"/>
  <c r="U41" i="27"/>
  <c r="Q41" i="27"/>
  <c r="M41" i="27"/>
  <c r="I41" i="27"/>
  <c r="E41" i="27"/>
  <c r="AE41" i="27"/>
  <c r="BE40" i="27"/>
  <c r="BA40" i="27"/>
  <c r="BC40" i="27"/>
  <c r="AV40" i="27"/>
  <c r="AT40" i="27"/>
  <c r="AN40" i="27"/>
  <c r="AL40" i="27"/>
  <c r="AJ40" i="27"/>
  <c r="AC40" i="27"/>
  <c r="Y40" i="27"/>
  <c r="Q40" i="27"/>
  <c r="E40" i="27"/>
  <c r="BK39" i="27"/>
  <c r="BE39" i="27"/>
  <c r="BA39" i="27"/>
  <c r="BC39" i="27"/>
  <c r="AX39" i="27"/>
  <c r="AV39" i="27"/>
  <c r="AT39" i="27"/>
  <c r="AP39" i="27"/>
  <c r="AN39" i="27"/>
  <c r="AL39" i="27"/>
  <c r="AJ39" i="27"/>
  <c r="AH39" i="27"/>
  <c r="AE39" i="27"/>
  <c r="AA39" i="27"/>
  <c r="W39" i="27"/>
  <c r="S39" i="27"/>
  <c r="O39" i="27"/>
  <c r="K39" i="27"/>
  <c r="G39" i="27"/>
  <c r="AC39" i="27"/>
  <c r="BC38" i="27"/>
  <c r="BE38" i="27"/>
  <c r="AX38" i="27"/>
  <c r="AV38" i="27"/>
  <c r="AT38" i="27"/>
  <c r="AP38" i="27"/>
  <c r="AN38" i="27"/>
  <c r="AL38" i="27"/>
  <c r="AJ38" i="27"/>
  <c r="AH38" i="27"/>
  <c r="AC38" i="27"/>
  <c r="Y38" i="27"/>
  <c r="U38" i="27"/>
  <c r="Q38" i="27"/>
  <c r="M38" i="27"/>
  <c r="I38" i="27"/>
  <c r="E38" i="27"/>
  <c r="AE38" i="27"/>
  <c r="AX37" i="27"/>
  <c r="AV37" i="27"/>
  <c r="AT37" i="27"/>
  <c r="AP37" i="27"/>
  <c r="AN37" i="27"/>
  <c r="AL37" i="27"/>
  <c r="AJ37" i="27"/>
  <c r="AH37" i="27"/>
  <c r="AC37" i="27"/>
  <c r="Y37" i="27"/>
  <c r="U37" i="27"/>
  <c r="Q37" i="27"/>
  <c r="M37" i="27"/>
  <c r="I37" i="27"/>
  <c r="E37" i="27"/>
  <c r="AE37" i="27"/>
  <c r="BC36" i="27"/>
  <c r="AX36" i="27"/>
  <c r="AV36" i="27"/>
  <c r="AT36" i="27"/>
  <c r="AP36" i="27"/>
  <c r="AN36" i="27"/>
  <c r="AL36" i="27"/>
  <c r="AJ36" i="27"/>
  <c r="AH36" i="27"/>
  <c r="AE36" i="27"/>
  <c r="BE35" i="27"/>
  <c r="AX35" i="27"/>
  <c r="AV35" i="27"/>
  <c r="AT35" i="27"/>
  <c r="AP35" i="27"/>
  <c r="AN35" i="27"/>
  <c r="AL35" i="27"/>
  <c r="AJ35" i="27"/>
  <c r="AH35" i="27"/>
  <c r="AC35" i="27"/>
  <c r="BE34" i="27"/>
  <c r="BA34" i="27"/>
  <c r="BC34" i="27"/>
  <c r="AX34" i="27"/>
  <c r="AV34" i="27"/>
  <c r="AT34" i="27"/>
  <c r="AP34" i="27"/>
  <c r="AN34" i="27"/>
  <c r="AL34" i="27"/>
  <c r="AJ34" i="27"/>
  <c r="AH34" i="27"/>
  <c r="AC34" i="27"/>
  <c r="Y34" i="27"/>
  <c r="U34" i="27"/>
  <c r="Q34" i="27"/>
  <c r="M34" i="27"/>
  <c r="I34" i="27"/>
  <c r="E34" i="27"/>
  <c r="AE34" i="27"/>
  <c r="BE33" i="27"/>
  <c r="BA33" i="27"/>
  <c r="BC33" i="27"/>
  <c r="AX33" i="27"/>
  <c r="AV33" i="27"/>
  <c r="AT33" i="27"/>
  <c r="AP33" i="27"/>
  <c r="AN33" i="27"/>
  <c r="AL33" i="27"/>
  <c r="AJ33" i="27"/>
  <c r="AH33" i="27"/>
  <c r="AC33" i="27"/>
  <c r="Y33" i="27"/>
  <c r="U33" i="27"/>
  <c r="Q33" i="27"/>
  <c r="M33" i="27"/>
  <c r="I33" i="27"/>
  <c r="E33" i="27"/>
  <c r="AE33" i="27"/>
  <c r="BC32" i="27"/>
  <c r="AX32" i="27"/>
  <c r="AV32" i="27"/>
  <c r="AT32" i="27"/>
  <c r="AP32" i="27"/>
  <c r="AN32" i="27"/>
  <c r="AL32" i="27"/>
  <c r="AJ32" i="27"/>
  <c r="AH32" i="27"/>
  <c r="AE32" i="27"/>
  <c r="BE31" i="27"/>
  <c r="BA31" i="27"/>
  <c r="BC31" i="27"/>
  <c r="AX31" i="27"/>
  <c r="AV31" i="27"/>
  <c r="AT31" i="27"/>
  <c r="AP31" i="27"/>
  <c r="AN31" i="27"/>
  <c r="AL31" i="27"/>
  <c r="AJ31" i="27"/>
  <c r="AC31" i="27"/>
  <c r="Y31" i="27"/>
  <c r="U31" i="27"/>
  <c r="Q31" i="27"/>
  <c r="M31" i="27"/>
  <c r="I31" i="27"/>
  <c r="E31" i="27"/>
  <c r="BE30" i="27"/>
  <c r="BA30" i="27"/>
  <c r="BC30" i="27"/>
  <c r="AX30" i="27"/>
  <c r="AV30" i="27"/>
  <c r="AP30" i="27"/>
  <c r="AN30" i="27"/>
  <c r="AJ30" i="27"/>
  <c r="AH30" i="27"/>
  <c r="AC30" i="27"/>
  <c r="Y30" i="27"/>
  <c r="U30" i="27"/>
  <c r="Q30" i="27"/>
  <c r="M30" i="27"/>
  <c r="I30" i="27"/>
  <c r="E30" i="27"/>
  <c r="AE30" i="27"/>
  <c r="BE29" i="27"/>
  <c r="BA29" i="27"/>
  <c r="BC29" i="27"/>
  <c r="AX29" i="27"/>
  <c r="AV29" i="27"/>
  <c r="AP29" i="27"/>
  <c r="AN29" i="27"/>
  <c r="AL29" i="27"/>
  <c r="AJ29" i="27"/>
  <c r="AH29" i="27"/>
  <c r="AC29" i="27"/>
  <c r="Y29" i="27"/>
  <c r="U29" i="27"/>
  <c r="Q29" i="27"/>
  <c r="M29" i="27"/>
  <c r="I29" i="27"/>
  <c r="E29" i="27"/>
  <c r="AE29" i="27"/>
  <c r="AX28" i="27"/>
  <c r="AV28" i="27"/>
  <c r="AT28" i="27"/>
  <c r="AP28" i="27"/>
  <c r="AN28" i="27"/>
  <c r="AL28" i="27"/>
  <c r="AJ28" i="27"/>
  <c r="AH28" i="27"/>
  <c r="AE28" i="27"/>
  <c r="O28" i="27"/>
  <c r="W28" i="27"/>
  <c r="BE27" i="27"/>
  <c r="BC27" i="27"/>
  <c r="BA27" i="27"/>
  <c r="AN27" i="27"/>
  <c r="AJ27" i="27"/>
  <c r="AE27" i="27"/>
  <c r="AC27" i="27"/>
  <c r="AA27" i="27"/>
  <c r="Y27" i="27"/>
  <c r="W27" i="27"/>
  <c r="U27" i="27"/>
  <c r="S27" i="27"/>
  <c r="Q27" i="27"/>
  <c r="O27" i="27"/>
  <c r="M27" i="27"/>
  <c r="K27" i="27"/>
  <c r="I27" i="27"/>
  <c r="G27" i="27"/>
  <c r="E27" i="27"/>
  <c r="BC26" i="27"/>
  <c r="AX26" i="27"/>
  <c r="AV26" i="27"/>
  <c r="AT26" i="27"/>
  <c r="AP26" i="27"/>
  <c r="AN26" i="27"/>
  <c r="AL26" i="27"/>
  <c r="AJ26" i="27"/>
  <c r="AH26" i="27"/>
  <c r="AE26" i="27"/>
  <c r="BE25" i="27"/>
  <c r="BC25" i="27"/>
  <c r="BA25" i="27"/>
  <c r="AX25" i="27"/>
  <c r="AT25" i="27"/>
  <c r="AP25" i="27"/>
  <c r="AL25" i="27"/>
  <c r="AH25" i="27"/>
  <c r="AV25" i="27"/>
  <c r="AE25" i="27"/>
  <c r="AC25" i="27"/>
  <c r="AA25" i="27"/>
  <c r="Y25" i="27"/>
  <c r="W25" i="27"/>
  <c r="U25" i="27"/>
  <c r="S25" i="27"/>
  <c r="Q25" i="27"/>
  <c r="O25" i="27"/>
  <c r="M25" i="27"/>
  <c r="K25" i="27"/>
  <c r="I25" i="27"/>
  <c r="G25" i="27"/>
  <c r="E25" i="27"/>
  <c r="BE24" i="27"/>
  <c r="BA24" i="27"/>
  <c r="BC24" i="27"/>
  <c r="AX24" i="27"/>
  <c r="AV24" i="27"/>
  <c r="AT24" i="27"/>
  <c r="AP24" i="27"/>
  <c r="AN24" i="27"/>
  <c r="AL24" i="27"/>
  <c r="AJ24" i="27"/>
  <c r="AH24" i="27"/>
  <c r="AC24" i="27"/>
  <c r="Y24" i="27"/>
  <c r="U24" i="27"/>
  <c r="Q24" i="27"/>
  <c r="M24" i="27"/>
  <c r="I24" i="27"/>
  <c r="E24" i="27"/>
  <c r="AE24" i="27"/>
  <c r="BC23" i="27"/>
  <c r="BA23" i="27"/>
  <c r="AX23" i="27"/>
  <c r="AE23" i="27"/>
  <c r="AC23" i="27"/>
  <c r="W23" i="27"/>
  <c r="S23" i="27"/>
  <c r="O23" i="27"/>
  <c r="M23" i="27"/>
  <c r="G23" i="27"/>
  <c r="AA23" i="27"/>
  <c r="BC22" i="27"/>
  <c r="AX22" i="27"/>
  <c r="AT22" i="27"/>
  <c r="AN22" i="27"/>
  <c r="AJ22" i="27"/>
  <c r="AH22" i="27"/>
  <c r="AV22" i="27"/>
  <c r="AC22" i="27"/>
  <c r="Y22" i="27"/>
  <c r="U22" i="27"/>
  <c r="Q22" i="27"/>
  <c r="M22" i="27"/>
  <c r="I22" i="27"/>
  <c r="E22" i="27"/>
  <c r="AE22" i="27"/>
  <c r="BE21" i="27"/>
  <c r="BC21" i="27"/>
  <c r="BA21" i="27"/>
  <c r="AJ21" i="27"/>
  <c r="AE21" i="27"/>
  <c r="AC21" i="27"/>
  <c r="AA21" i="27"/>
  <c r="Y21" i="27"/>
  <c r="W21" i="27"/>
  <c r="U21" i="27"/>
  <c r="S21" i="27"/>
  <c r="Q21" i="27"/>
  <c r="O21" i="27"/>
  <c r="M21" i="27"/>
  <c r="K21" i="27"/>
  <c r="I21" i="27"/>
  <c r="G21" i="27"/>
  <c r="E21" i="27"/>
  <c r="BC20" i="27"/>
  <c r="BE20" i="27"/>
  <c r="AX20" i="27"/>
  <c r="AT20" i="27"/>
  <c r="AP20" i="27"/>
  <c r="AL20" i="27"/>
  <c r="AJ20" i="27"/>
  <c r="AH20" i="27"/>
  <c r="AE20" i="27"/>
  <c r="AC20" i="27"/>
  <c r="AA20" i="27"/>
  <c r="W20" i="27"/>
  <c r="U20" i="27"/>
  <c r="Q20" i="27"/>
  <c r="O20" i="27"/>
  <c r="M20" i="27"/>
  <c r="K20" i="27"/>
  <c r="G20" i="27"/>
  <c r="E20" i="27"/>
  <c r="S20" i="27"/>
  <c r="BE19" i="27"/>
  <c r="BA19" i="27"/>
  <c r="BC19" i="27"/>
  <c r="AT19" i="27"/>
  <c r="AP19" i="27"/>
  <c r="AN19" i="27"/>
  <c r="AJ19" i="27"/>
  <c r="AV19" i="27"/>
  <c r="AC19" i="27"/>
  <c r="Y19" i="27"/>
  <c r="U19" i="27"/>
  <c r="Q19" i="27"/>
  <c r="M19" i="27"/>
  <c r="I19" i="27"/>
  <c r="E19" i="27"/>
  <c r="AE19" i="27"/>
  <c r="BE18" i="27"/>
  <c r="BA18" i="27"/>
  <c r="BC18" i="27"/>
  <c r="AT18" i="27"/>
  <c r="AN18" i="27"/>
  <c r="AJ18" i="27"/>
  <c r="AV18" i="27"/>
  <c r="W18" i="27"/>
  <c r="BC17" i="27"/>
  <c r="AV17" i="27"/>
  <c r="AT17" i="27"/>
  <c r="AN17" i="27"/>
  <c r="AJ17" i="27"/>
  <c r="W17" i="27"/>
  <c r="BC16" i="27"/>
  <c r="AT16" i="27"/>
  <c r="AN16" i="27"/>
  <c r="AJ16" i="27"/>
  <c r="BC15" i="27"/>
  <c r="AV15" i="27"/>
  <c r="AT15" i="27"/>
  <c r="AP15" i="27"/>
  <c r="AN15" i="27"/>
  <c r="AJ15" i="27"/>
  <c r="Y15" i="27"/>
  <c r="S15" i="27"/>
  <c r="M15" i="27"/>
  <c r="I15" i="27"/>
  <c r="E15" i="27"/>
  <c r="W15" i="27"/>
  <c r="BE14" i="27"/>
  <c r="BA14" i="27"/>
  <c r="BC14" i="27"/>
  <c r="AN14" i="27"/>
  <c r="AL14" i="27"/>
  <c r="AJ14" i="27"/>
  <c r="AV14" i="27"/>
  <c r="AC14" i="27"/>
  <c r="Y14" i="27"/>
  <c r="U14" i="27"/>
  <c r="Q14" i="27"/>
  <c r="M14" i="27"/>
  <c r="I14" i="27"/>
  <c r="E14" i="27"/>
  <c r="AE14" i="27"/>
  <c r="BE13" i="27"/>
  <c r="BA13" i="27"/>
  <c r="BC13" i="27"/>
  <c r="AV13" i="27"/>
  <c r="AT13" i="27"/>
  <c r="AP13" i="27"/>
  <c r="AN13" i="27"/>
  <c r="AL13" i="27"/>
  <c r="AJ13" i="27"/>
  <c r="AC13" i="27"/>
  <c r="Y13" i="27"/>
  <c r="U13" i="27"/>
  <c r="Q13" i="27"/>
  <c r="M13" i="27"/>
  <c r="I13" i="27"/>
  <c r="E13" i="27"/>
  <c r="BE12" i="27"/>
  <c r="BA12" i="27"/>
  <c r="BC12" i="27"/>
  <c r="AN12" i="27"/>
  <c r="AL12" i="27"/>
  <c r="AJ12" i="27"/>
  <c r="AV12" i="27"/>
  <c r="AC12" i="27"/>
  <c r="Y12" i="27"/>
  <c r="U12" i="27"/>
  <c r="Q12" i="27"/>
  <c r="M12" i="27"/>
  <c r="I12" i="27"/>
  <c r="E12" i="27"/>
  <c r="AE12" i="27"/>
  <c r="BE11" i="27"/>
  <c r="BA11" i="27"/>
  <c r="BC11" i="27"/>
  <c r="AV11" i="27"/>
  <c r="AT11" i="27"/>
  <c r="AP11" i="27"/>
  <c r="AN11" i="27"/>
  <c r="AJ11" i="27"/>
  <c r="AC11" i="27"/>
  <c r="Y11" i="27"/>
  <c r="U11" i="27"/>
  <c r="Q11" i="27"/>
  <c r="M11" i="27"/>
  <c r="I11" i="27"/>
  <c r="E11" i="27"/>
  <c r="AE11" i="27"/>
  <c r="BE10" i="27"/>
  <c r="BA10" i="27"/>
  <c r="AQ47" i="27"/>
  <c r="AM47" i="27"/>
  <c r="AD47" i="27"/>
  <c r="AB47" i="27"/>
  <c r="AC47" i="27" s="1"/>
  <c r="AC48" i="27" s="1"/>
  <c r="X47" i="27"/>
  <c r="V47" i="27"/>
  <c r="W47" i="27" s="1"/>
  <c r="T47" i="27"/>
  <c r="P47" i="27"/>
  <c r="L47" i="27"/>
  <c r="H47" i="27"/>
  <c r="F47" i="27"/>
  <c r="D47" i="27"/>
  <c r="AK47" i="27"/>
  <c r="AL10" i="27"/>
  <c r="Y16" i="27"/>
  <c r="BE16" i="27"/>
  <c r="Y18" i="27"/>
  <c r="AX12" i="27"/>
  <c r="G13" i="27"/>
  <c r="K13" i="27"/>
  <c r="O13" i="27"/>
  <c r="S13" i="27"/>
  <c r="W13" i="27"/>
  <c r="AA13" i="27"/>
  <c r="AE13" i="27"/>
  <c r="AH14" i="27"/>
  <c r="AX14" i="27"/>
  <c r="G15" i="27"/>
  <c r="K15" i="27"/>
  <c r="O15" i="27"/>
  <c r="U15" i="27"/>
  <c r="AE15" i="27"/>
  <c r="BA15" i="27"/>
  <c r="E16" i="27"/>
  <c r="O16" i="27"/>
  <c r="U16" i="27"/>
  <c r="AE16" i="27"/>
  <c r="AP16" i="27"/>
  <c r="BA16" i="27"/>
  <c r="E17" i="27"/>
  <c r="O17" i="27"/>
  <c r="U17" i="27"/>
  <c r="AE17" i="27"/>
  <c r="AP17" i="27"/>
  <c r="BA17" i="27"/>
  <c r="E18" i="27"/>
  <c r="O18" i="27"/>
  <c r="U18" i="27"/>
  <c r="AE18" i="27"/>
  <c r="AP18" i="27"/>
  <c r="AH21" i="27"/>
  <c r="AX21" i="27"/>
  <c r="AX27" i="27"/>
  <c r="AT27" i="27"/>
  <c r="AP27" i="27"/>
  <c r="AL27" i="27"/>
  <c r="AH27" i="27"/>
  <c r="AV27" i="27"/>
  <c r="K28" i="27"/>
  <c r="AA28" i="27"/>
  <c r="I17" i="27"/>
  <c r="S17" i="27"/>
  <c r="BE17" i="27"/>
  <c r="E10" i="27"/>
  <c r="I10" i="27"/>
  <c r="M10" i="27"/>
  <c r="Q10" i="27"/>
  <c r="U10" i="27"/>
  <c r="Y10" i="27"/>
  <c r="AC10" i="27"/>
  <c r="AW47" i="27"/>
  <c r="AX10" i="27"/>
  <c r="AY47" i="27"/>
  <c r="BC10" i="27"/>
  <c r="AT14" i="27"/>
  <c r="Q15" i="27"/>
  <c r="AA15" i="27"/>
  <c r="K16" i="27"/>
  <c r="Q16" i="27"/>
  <c r="AA16" i="27"/>
  <c r="AL16" i="27"/>
  <c r="AV16" i="27"/>
  <c r="K17" i="27"/>
  <c r="Q17" i="27"/>
  <c r="AA17" i="27"/>
  <c r="AL17" i="27"/>
  <c r="K18" i="27"/>
  <c r="Q18" i="27"/>
  <c r="AA18" i="27"/>
  <c r="AL18" i="27"/>
  <c r="AL19" i="27"/>
  <c r="AN21" i="27"/>
  <c r="AT21" i="27"/>
  <c r="G28" i="27"/>
  <c r="AF47" i="27"/>
  <c r="AL47" i="27" s="1"/>
  <c r="AV10" i="27"/>
  <c r="BE15" i="27"/>
  <c r="I16" i="27"/>
  <c r="S16" i="27"/>
  <c r="Y17" i="27"/>
  <c r="I18" i="27"/>
  <c r="S18" i="27"/>
  <c r="AL21" i="27"/>
  <c r="AV21" i="27"/>
  <c r="BE28" i="27"/>
  <c r="BA28" i="27"/>
  <c r="AH31" i="27"/>
  <c r="AG47" i="27"/>
  <c r="AH47" i="27" s="1"/>
  <c r="AH10" i="27"/>
  <c r="AR47" i="27"/>
  <c r="G11" i="27"/>
  <c r="K11" i="27"/>
  <c r="O11" i="27"/>
  <c r="S11" i="27"/>
  <c r="W11" i="27"/>
  <c r="AA11" i="27"/>
  <c r="AH12" i="27"/>
  <c r="AI47" i="27"/>
  <c r="AN10" i="27"/>
  <c r="AS47" i="27"/>
  <c r="AT47" i="27" s="1"/>
  <c r="AT50" i="27" s="1"/>
  <c r="AT10" i="27"/>
  <c r="BG47" i="27"/>
  <c r="AL11" i="27"/>
  <c r="AT12" i="27"/>
  <c r="AL15" i="27"/>
  <c r="C47" i="27"/>
  <c r="G10" i="27"/>
  <c r="K10" i="27"/>
  <c r="O10" i="27"/>
  <c r="S10" i="27"/>
  <c r="W10" i="27"/>
  <c r="AA10" i="27"/>
  <c r="AE10" i="27"/>
  <c r="AJ10" i="27"/>
  <c r="AO47" i="27"/>
  <c r="AP47" i="27" s="1"/>
  <c r="AP10" i="27"/>
  <c r="AU47" i="27"/>
  <c r="AZ47" i="27"/>
  <c r="BA47" i="27" s="1"/>
  <c r="BA48" i="27" s="1"/>
  <c r="BD47" i="27"/>
  <c r="BH47" i="27"/>
  <c r="AH11" i="27"/>
  <c r="AX11" i="27"/>
  <c r="G12" i="27"/>
  <c r="K12" i="27"/>
  <c r="O12" i="27"/>
  <c r="S12" i="27"/>
  <c r="W12" i="27"/>
  <c r="AA12" i="27"/>
  <c r="AP12" i="27"/>
  <c r="AH13" i="27"/>
  <c r="AX13" i="27"/>
  <c r="G14" i="27"/>
  <c r="K14" i="27"/>
  <c r="O14" i="27"/>
  <c r="S14" i="27"/>
  <c r="W14" i="27"/>
  <c r="AA14" i="27"/>
  <c r="AP14" i="27"/>
  <c r="AC15" i="27"/>
  <c r="AH15" i="27"/>
  <c r="AX15" i="27"/>
  <c r="G16" i="27"/>
  <c r="M16" i="27"/>
  <c r="W16" i="27"/>
  <c r="AC16" i="27"/>
  <c r="AX16" i="27"/>
  <c r="G17" i="27"/>
  <c r="M17" i="27"/>
  <c r="AC17" i="27"/>
  <c r="AH17" i="27"/>
  <c r="AX17" i="27"/>
  <c r="G18" i="27"/>
  <c r="M18" i="27"/>
  <c r="AC18" i="27"/>
  <c r="AH18" i="27"/>
  <c r="AX18" i="27"/>
  <c r="AH19" i="27"/>
  <c r="AX19" i="27"/>
  <c r="I20" i="27"/>
  <c r="Y20" i="27"/>
  <c r="AP21" i="27"/>
  <c r="AC28" i="27"/>
  <c r="Y28" i="27"/>
  <c r="U28" i="27"/>
  <c r="Q28" i="27"/>
  <c r="M28" i="27"/>
  <c r="I28" i="27"/>
  <c r="E28" i="27"/>
  <c r="S28" i="27"/>
  <c r="BC28" i="27"/>
  <c r="G19" i="27"/>
  <c r="K19" i="27"/>
  <c r="O19" i="27"/>
  <c r="S19" i="27"/>
  <c r="W19" i="27"/>
  <c r="AA19" i="27"/>
  <c r="AN20" i="27"/>
  <c r="BA20" i="27"/>
  <c r="AL22" i="27"/>
  <c r="BA22" i="27"/>
  <c r="BE22" i="27"/>
  <c r="K23" i="27"/>
  <c r="Q23" i="27"/>
  <c r="AJ23" i="27"/>
  <c r="AN23" i="27"/>
  <c r="AV23" i="27"/>
  <c r="G24" i="27"/>
  <c r="K24" i="27"/>
  <c r="O24" i="27"/>
  <c r="S24" i="27"/>
  <c r="W24" i="27"/>
  <c r="AA24" i="27"/>
  <c r="E26" i="27"/>
  <c r="I26" i="27"/>
  <c r="M26" i="27"/>
  <c r="Q26" i="27"/>
  <c r="U26" i="27"/>
  <c r="Y26" i="27"/>
  <c r="AC26" i="27"/>
  <c r="BA26" i="27"/>
  <c r="BE26" i="27"/>
  <c r="G29" i="27"/>
  <c r="K29" i="27"/>
  <c r="O29" i="27"/>
  <c r="S29" i="27"/>
  <c r="W29" i="27"/>
  <c r="AA29" i="27"/>
  <c r="G35" i="27"/>
  <c r="K35" i="27"/>
  <c r="O35" i="27"/>
  <c r="S35" i="27"/>
  <c r="W35" i="27"/>
  <c r="AA35" i="27"/>
  <c r="AE35" i="27"/>
  <c r="BC35" i="27"/>
  <c r="G37" i="27"/>
  <c r="K37" i="27"/>
  <c r="O37" i="27"/>
  <c r="S37" i="27"/>
  <c r="W37" i="27"/>
  <c r="AA37" i="27"/>
  <c r="BE37" i="27"/>
  <c r="BA37" i="27"/>
  <c r="I23" i="27"/>
  <c r="Y23" i="27"/>
  <c r="AH23" i="27"/>
  <c r="AL23" i="27"/>
  <c r="AP23" i="27"/>
  <c r="AT23" i="27"/>
  <c r="G26" i="27"/>
  <c r="K26" i="27"/>
  <c r="O26" i="27"/>
  <c r="S26" i="27"/>
  <c r="W26" i="27"/>
  <c r="AA26" i="27"/>
  <c r="E35" i="27"/>
  <c r="I35" i="27"/>
  <c r="M35" i="27"/>
  <c r="Q35" i="27"/>
  <c r="U35" i="27"/>
  <c r="Y35" i="27"/>
  <c r="BA35" i="27"/>
  <c r="J47" i="27"/>
  <c r="N47" i="27"/>
  <c r="O47" i="27" s="1"/>
  <c r="R47" i="27"/>
  <c r="Z47" i="27"/>
  <c r="AA47" i="27" s="1"/>
  <c r="BB47" i="27"/>
  <c r="BC47" i="27" s="1"/>
  <c r="BC48" i="27" s="1"/>
  <c r="BF47" i="27"/>
  <c r="AH16" i="27"/>
  <c r="AV20" i="27"/>
  <c r="G22" i="27"/>
  <c r="K22" i="27"/>
  <c r="O22" i="27"/>
  <c r="S22" i="27"/>
  <c r="W22" i="27"/>
  <c r="AA22" i="27"/>
  <c r="AP22" i="27"/>
  <c r="E23" i="27"/>
  <c r="U23" i="27"/>
  <c r="BE23" i="27"/>
  <c r="AJ25" i="27"/>
  <c r="AN25" i="27"/>
  <c r="G30" i="27"/>
  <c r="K30" i="27"/>
  <c r="O30" i="27"/>
  <c r="S30" i="27"/>
  <c r="W30" i="27"/>
  <c r="AA30" i="27"/>
  <c r="G31" i="27"/>
  <c r="K31" i="27"/>
  <c r="O31" i="27"/>
  <c r="S31" i="27"/>
  <c r="W31" i="27"/>
  <c r="AA31" i="27"/>
  <c r="AE31" i="27"/>
  <c r="G33" i="27"/>
  <c r="K33" i="27"/>
  <c r="O33" i="27"/>
  <c r="S33" i="27"/>
  <c r="W33" i="27"/>
  <c r="AA33" i="27"/>
  <c r="BC37" i="27"/>
  <c r="AT30" i="27"/>
  <c r="E32" i="27"/>
  <c r="I32" i="27"/>
  <c r="M32" i="27"/>
  <c r="Q32" i="27"/>
  <c r="U32" i="27"/>
  <c r="Y32" i="27"/>
  <c r="AC32" i="27"/>
  <c r="BA32" i="27"/>
  <c r="BE32" i="27"/>
  <c r="G34" i="27"/>
  <c r="K34" i="27"/>
  <c r="O34" i="27"/>
  <c r="S34" i="27"/>
  <c r="W34" i="27"/>
  <c r="AA34" i="27"/>
  <c r="E36" i="27"/>
  <c r="I36" i="27"/>
  <c r="M36" i="27"/>
  <c r="Q36" i="27"/>
  <c r="U36" i="27"/>
  <c r="Y36" i="27"/>
  <c r="AC36" i="27"/>
  <c r="BA36" i="27"/>
  <c r="BE36" i="27"/>
  <c r="G38" i="27"/>
  <c r="K38" i="27"/>
  <c r="O38" i="27"/>
  <c r="S38" i="27"/>
  <c r="W38" i="27"/>
  <c r="AA38" i="27"/>
  <c r="AE40" i="27"/>
  <c r="AA40" i="27"/>
  <c r="W40" i="27"/>
  <c r="S40" i="27"/>
  <c r="O40" i="27"/>
  <c r="K40" i="27"/>
  <c r="G40" i="27"/>
  <c r="I40" i="27"/>
  <c r="U40" i="27"/>
  <c r="AT43" i="27"/>
  <c r="AT29" i="27"/>
  <c r="AL30" i="27"/>
  <c r="G32" i="27"/>
  <c r="K32" i="27"/>
  <c r="O32" i="27"/>
  <c r="S32" i="27"/>
  <c r="W32" i="27"/>
  <c r="AA32" i="27"/>
  <c r="G36" i="27"/>
  <c r="K36" i="27"/>
  <c r="O36" i="27"/>
  <c r="S36" i="27"/>
  <c r="W36" i="27"/>
  <c r="AA36" i="27"/>
  <c r="M40" i="27"/>
  <c r="AJ43" i="27"/>
  <c r="AP40" i="27"/>
  <c r="AH41" i="27"/>
  <c r="AX41" i="27"/>
  <c r="AP42" i="27"/>
  <c r="AH43" i="27"/>
  <c r="AX43" i="27"/>
  <c r="BA38" i="27"/>
  <c r="E39" i="27"/>
  <c r="I39" i="27"/>
  <c r="M39" i="27"/>
  <c r="Q39" i="27"/>
  <c r="U39" i="27"/>
  <c r="Y39" i="27"/>
  <c r="AH40" i="27"/>
  <c r="AX40" i="27"/>
  <c r="AP41" i="27"/>
  <c r="AH42" i="27"/>
  <c r="AX42" i="27"/>
  <c r="AP43" i="27"/>
  <c r="G41" i="27"/>
  <c r="K41" i="27"/>
  <c r="O41" i="27"/>
  <c r="S41" i="27"/>
  <c r="W41" i="27"/>
  <c r="AA41" i="27"/>
  <c r="G42" i="27"/>
  <c r="K42" i="27"/>
  <c r="O42" i="27"/>
  <c r="S42" i="27"/>
  <c r="W42" i="27"/>
  <c r="AA42" i="27"/>
  <c r="G43" i="27"/>
  <c r="K43" i="27"/>
  <c r="O43" i="27"/>
  <c r="S43" i="27"/>
  <c r="W43" i="27"/>
  <c r="AA43" i="27"/>
  <c r="AE43" i="27"/>
  <c r="G44" i="27"/>
  <c r="K44" i="27"/>
  <c r="O44" i="27"/>
  <c r="S44" i="27"/>
  <c r="W44" i="27"/>
  <c r="AA44" i="27"/>
  <c r="AJ45" i="27"/>
  <c r="AN45" i="27"/>
  <c r="BE47" i="27"/>
  <c r="BE48" i="27" s="1"/>
  <c r="K47" i="27"/>
  <c r="K48" i="27" s="1"/>
  <c r="AV47" i="27"/>
  <c r="AV48" i="27"/>
  <c r="I47" i="27"/>
  <c r="U47" i="27"/>
  <c r="U48" i="27" s="1"/>
  <c r="AJ47" i="27"/>
  <c r="G51" i="3"/>
  <c r="G50" i="3"/>
  <c r="G49" i="3"/>
  <c r="B60" i="26"/>
  <c r="AJ44" i="26"/>
  <c r="AY44" i="26"/>
  <c r="AW44" i="26"/>
  <c r="AU44" i="26"/>
  <c r="AR44" i="26"/>
  <c r="AP44" i="26"/>
  <c r="AN44" i="26"/>
  <c r="AH44" i="26"/>
  <c r="AF44" i="26"/>
  <c r="AD44" i="26"/>
  <c r="AB44" i="26"/>
  <c r="Z44" i="26"/>
  <c r="W46" i="26"/>
  <c r="W45" i="26"/>
  <c r="W44" i="26"/>
  <c r="W43" i="26"/>
  <c r="W42" i="26"/>
  <c r="W41" i="26"/>
  <c r="W40" i="26"/>
  <c r="W39" i="26"/>
  <c r="W38" i="26"/>
  <c r="W37" i="26"/>
  <c r="W36" i="26"/>
  <c r="W35" i="26"/>
  <c r="W34" i="26"/>
  <c r="W33" i="26"/>
  <c r="W32" i="26"/>
  <c r="W31" i="26"/>
  <c r="W30" i="26"/>
  <c r="W29" i="26"/>
  <c r="W28" i="26"/>
  <c r="W27" i="26"/>
  <c r="W26" i="26"/>
  <c r="W25" i="26"/>
  <c r="W24" i="26"/>
  <c r="W23" i="26"/>
  <c r="W22" i="26"/>
  <c r="W21" i="26"/>
  <c r="W20" i="26"/>
  <c r="W19" i="26"/>
  <c r="W18" i="26"/>
  <c r="W17" i="26"/>
  <c r="W16" i="26"/>
  <c r="W15" i="26"/>
  <c r="W14" i="26"/>
  <c r="W13" i="26"/>
  <c r="W12" i="26"/>
  <c r="W11" i="26"/>
  <c r="W10" i="26"/>
  <c r="U46" i="26"/>
  <c r="U45" i="26"/>
  <c r="U44" i="26"/>
  <c r="U43" i="26"/>
  <c r="U42" i="26"/>
  <c r="U41" i="26"/>
  <c r="U40" i="26"/>
  <c r="U39" i="26"/>
  <c r="U38" i="26"/>
  <c r="U37" i="26"/>
  <c r="U36" i="26"/>
  <c r="U35" i="26"/>
  <c r="U34" i="26"/>
  <c r="U33" i="26"/>
  <c r="U32" i="26"/>
  <c r="U31" i="26"/>
  <c r="U30" i="26"/>
  <c r="U29" i="26"/>
  <c r="U28" i="26"/>
  <c r="U27" i="26"/>
  <c r="U26" i="26"/>
  <c r="U25" i="26"/>
  <c r="U24" i="26"/>
  <c r="U23" i="26"/>
  <c r="U22" i="26"/>
  <c r="U21" i="26"/>
  <c r="U20" i="26"/>
  <c r="U19" i="26"/>
  <c r="U18" i="26"/>
  <c r="U17" i="26"/>
  <c r="U16" i="26"/>
  <c r="U15" i="26"/>
  <c r="U14" i="26"/>
  <c r="U13" i="26"/>
  <c r="U12" i="26"/>
  <c r="U11" i="26"/>
  <c r="U10" i="26"/>
  <c r="S44" i="26"/>
  <c r="Q44" i="26"/>
  <c r="O44" i="26"/>
  <c r="M44" i="26"/>
  <c r="K44" i="26"/>
  <c r="I44" i="26"/>
  <c r="G44" i="26"/>
  <c r="E44" i="26"/>
  <c r="G70" i="26"/>
  <c r="BB47" i="26"/>
  <c r="BA47" i="26"/>
  <c r="AZ47" i="26"/>
  <c r="AX47" i="26"/>
  <c r="AY47" i="26" s="1"/>
  <c r="AV47" i="26"/>
  <c r="AT47" i="26"/>
  <c r="AU47" i="26" s="1"/>
  <c r="AU48" i="26" s="1"/>
  <c r="AS47" i="26"/>
  <c r="AQ47" i="26"/>
  <c r="AR47" i="26" s="1"/>
  <c r="AR48" i="26" s="1"/>
  <c r="AO47" i="26"/>
  <c r="AM47" i="26"/>
  <c r="AN47" i="26" s="1"/>
  <c r="AL47" i="26"/>
  <c r="AK47" i="26"/>
  <c r="AI47" i="26"/>
  <c r="AG47" i="26"/>
  <c r="AH47" i="26" s="1"/>
  <c r="AH48" i="26" s="1"/>
  <c r="AE47" i="26"/>
  <c r="AC47" i="26"/>
  <c r="AA47" i="26"/>
  <c r="Y47" i="26"/>
  <c r="Z47" i="26" s="1"/>
  <c r="X47" i="26"/>
  <c r="V47" i="26"/>
  <c r="T47" i="26"/>
  <c r="R47" i="26"/>
  <c r="P47" i="26"/>
  <c r="N47" i="26"/>
  <c r="L47" i="26"/>
  <c r="J47" i="26"/>
  <c r="K47" i="26" s="1"/>
  <c r="H47" i="26"/>
  <c r="F47" i="26"/>
  <c r="D47" i="26"/>
  <c r="C47" i="26"/>
  <c r="AY46" i="26"/>
  <c r="AW46" i="26"/>
  <c r="AU46" i="26"/>
  <c r="AR46" i="26"/>
  <c r="AP46" i="26"/>
  <c r="AN46" i="26"/>
  <c r="AJ46" i="26"/>
  <c r="AH46" i="26"/>
  <c r="AF46" i="26"/>
  <c r="AD46" i="26"/>
  <c r="AB46" i="26"/>
  <c r="Z46" i="26"/>
  <c r="S46" i="26"/>
  <c r="Q46" i="26"/>
  <c r="O46" i="26"/>
  <c r="M46" i="26"/>
  <c r="K46" i="26"/>
  <c r="I46" i="26"/>
  <c r="G46" i="26"/>
  <c r="E46" i="26"/>
  <c r="AY45" i="26"/>
  <c r="AW45" i="26"/>
  <c r="AU45" i="26"/>
  <c r="AR45" i="26"/>
  <c r="AP45" i="26"/>
  <c r="AN45" i="26"/>
  <c r="AJ45" i="26"/>
  <c r="AH45" i="26"/>
  <c r="AF45" i="26"/>
  <c r="AD45" i="26"/>
  <c r="AB45" i="26"/>
  <c r="Z45" i="26"/>
  <c r="S45" i="26"/>
  <c r="Q45" i="26"/>
  <c r="O45" i="26"/>
  <c r="M45" i="26"/>
  <c r="K45" i="26"/>
  <c r="I45" i="26"/>
  <c r="G45" i="26"/>
  <c r="E45" i="26"/>
  <c r="AY43" i="26"/>
  <c r="AW43" i="26"/>
  <c r="AU43" i="26"/>
  <c r="AR43" i="26"/>
  <c r="AP43" i="26"/>
  <c r="AN43" i="26"/>
  <c r="AJ43" i="26"/>
  <c r="AH43" i="26"/>
  <c r="AF43" i="26"/>
  <c r="AD43" i="26"/>
  <c r="AB43" i="26"/>
  <c r="Z43" i="26"/>
  <c r="S43" i="26"/>
  <c r="Q43" i="26"/>
  <c r="O43" i="26"/>
  <c r="M43" i="26"/>
  <c r="K43" i="26"/>
  <c r="I43" i="26"/>
  <c r="G43" i="26"/>
  <c r="E43" i="26"/>
  <c r="AY42" i="26"/>
  <c r="AW42" i="26"/>
  <c r="AU42" i="26"/>
  <c r="AR42" i="26"/>
  <c r="AP42" i="26"/>
  <c r="AN42" i="26"/>
  <c r="AJ42" i="26"/>
  <c r="AH42" i="26"/>
  <c r="AF42" i="26"/>
  <c r="AD42" i="26"/>
  <c r="AB42" i="26"/>
  <c r="Z42" i="26"/>
  <c r="S42" i="26"/>
  <c r="Q42" i="26"/>
  <c r="O42" i="26"/>
  <c r="M42" i="26"/>
  <c r="K42" i="26"/>
  <c r="I42" i="26"/>
  <c r="G42" i="26"/>
  <c r="E42" i="26"/>
  <c r="AY41" i="26"/>
  <c r="AW41" i="26"/>
  <c r="AU41" i="26"/>
  <c r="AR41" i="26"/>
  <c r="AP41" i="26"/>
  <c r="AN41" i="26"/>
  <c r="AJ41" i="26"/>
  <c r="AH41" i="26"/>
  <c r="AF41" i="26"/>
  <c r="AD41" i="26"/>
  <c r="AB41" i="26"/>
  <c r="Z41" i="26"/>
  <c r="S41" i="26"/>
  <c r="Q41" i="26"/>
  <c r="O41" i="26"/>
  <c r="M41" i="26"/>
  <c r="K41" i="26"/>
  <c r="I41" i="26"/>
  <c r="G41" i="26"/>
  <c r="E41" i="26"/>
  <c r="AY40" i="26"/>
  <c r="AW40" i="26"/>
  <c r="AU40" i="26"/>
  <c r="AR40" i="26"/>
  <c r="AP40" i="26"/>
  <c r="AN40" i="26"/>
  <c r="AJ40" i="26"/>
  <c r="AH40" i="26"/>
  <c r="AF40" i="26"/>
  <c r="AD40" i="26"/>
  <c r="AB40" i="26"/>
  <c r="Z40" i="26"/>
  <c r="S40" i="26"/>
  <c r="Q40" i="26"/>
  <c r="O40" i="26"/>
  <c r="M40" i="26"/>
  <c r="K40" i="26"/>
  <c r="I40" i="26"/>
  <c r="G40" i="26"/>
  <c r="E40" i="26"/>
  <c r="AY39" i="26"/>
  <c r="AW39" i="26"/>
  <c r="AU39" i="26"/>
  <c r="AR39" i="26"/>
  <c r="AP39" i="26"/>
  <c r="AN39" i="26"/>
  <c r="AJ39" i="26"/>
  <c r="AH39" i="26"/>
  <c r="AF39" i="26"/>
  <c r="AD39" i="26"/>
  <c r="AB39" i="26"/>
  <c r="Z39" i="26"/>
  <c r="S39" i="26"/>
  <c r="Q39" i="26"/>
  <c r="O39" i="26"/>
  <c r="M39" i="26"/>
  <c r="K39" i="26"/>
  <c r="I39" i="26"/>
  <c r="G39" i="26"/>
  <c r="E39" i="26"/>
  <c r="AY38" i="26"/>
  <c r="AW38" i="26"/>
  <c r="AU38" i="26"/>
  <c r="AR38" i="26"/>
  <c r="AP38" i="26"/>
  <c r="AN38" i="26"/>
  <c r="AJ38" i="26"/>
  <c r="AH38" i="26"/>
  <c r="AF38" i="26"/>
  <c r="AD38" i="26"/>
  <c r="AB38" i="26"/>
  <c r="Z38" i="26"/>
  <c r="S38" i="26"/>
  <c r="Q38" i="26"/>
  <c r="O38" i="26"/>
  <c r="M38" i="26"/>
  <c r="K38" i="26"/>
  <c r="I38" i="26"/>
  <c r="G38" i="26"/>
  <c r="E38" i="26"/>
  <c r="AY37" i="26"/>
  <c r="AW37" i="26"/>
  <c r="AU37" i="26"/>
  <c r="AR37" i="26"/>
  <c r="AP37" i="26"/>
  <c r="AN37" i="26"/>
  <c r="AJ37" i="26"/>
  <c r="AH37" i="26"/>
  <c r="AF37" i="26"/>
  <c r="AD37" i="26"/>
  <c r="AB37" i="26"/>
  <c r="Z37" i="26"/>
  <c r="S37" i="26"/>
  <c r="Q37" i="26"/>
  <c r="O37" i="26"/>
  <c r="M37" i="26"/>
  <c r="K37" i="26"/>
  <c r="I37" i="26"/>
  <c r="G37" i="26"/>
  <c r="E37" i="26"/>
  <c r="AY36" i="26"/>
  <c r="AW36" i="26"/>
  <c r="AU36" i="26"/>
  <c r="AR36" i="26"/>
  <c r="AP36" i="26"/>
  <c r="AN36" i="26"/>
  <c r="AJ36" i="26"/>
  <c r="AH36" i="26"/>
  <c r="AF36" i="26"/>
  <c r="AD36" i="26"/>
  <c r="AB36" i="26"/>
  <c r="Z36" i="26"/>
  <c r="S36" i="26"/>
  <c r="Q36" i="26"/>
  <c r="O36" i="26"/>
  <c r="M36" i="26"/>
  <c r="K36" i="26"/>
  <c r="I36" i="26"/>
  <c r="G36" i="26"/>
  <c r="E36" i="26"/>
  <c r="AY35" i="26"/>
  <c r="AW35" i="26"/>
  <c r="AU35" i="26"/>
  <c r="AR35" i="26"/>
  <c r="AP35" i="26"/>
  <c r="AN35" i="26"/>
  <c r="AJ35" i="26"/>
  <c r="AH35" i="26"/>
  <c r="AF35" i="26"/>
  <c r="AD35" i="26"/>
  <c r="AB35" i="26"/>
  <c r="Z35" i="26"/>
  <c r="S35" i="26"/>
  <c r="Q35" i="26"/>
  <c r="O35" i="26"/>
  <c r="M35" i="26"/>
  <c r="K35" i="26"/>
  <c r="I35" i="26"/>
  <c r="G35" i="26"/>
  <c r="E35" i="26"/>
  <c r="AY34" i="26"/>
  <c r="AW34" i="26"/>
  <c r="AU34" i="26"/>
  <c r="AR34" i="26"/>
  <c r="AP34" i="26"/>
  <c r="AN34" i="26"/>
  <c r="AJ34" i="26"/>
  <c r="AH34" i="26"/>
  <c r="AF34" i="26"/>
  <c r="AD34" i="26"/>
  <c r="AB34" i="26"/>
  <c r="Z34" i="26"/>
  <c r="S34" i="26"/>
  <c r="Q34" i="26"/>
  <c r="O34" i="26"/>
  <c r="M34" i="26"/>
  <c r="K34" i="26"/>
  <c r="I34" i="26"/>
  <c r="G34" i="26"/>
  <c r="E34" i="26"/>
  <c r="AY33" i="26"/>
  <c r="AW33" i="26"/>
  <c r="AU33" i="26"/>
  <c r="AR33" i="26"/>
  <c r="AP33" i="26"/>
  <c r="AN33" i="26"/>
  <c r="AJ33" i="26"/>
  <c r="AH33" i="26"/>
  <c r="AF33" i="26"/>
  <c r="AD33" i="26"/>
  <c r="AB33" i="26"/>
  <c r="Z33" i="26"/>
  <c r="S33" i="26"/>
  <c r="Q33" i="26"/>
  <c r="O33" i="26"/>
  <c r="M33" i="26"/>
  <c r="K33" i="26"/>
  <c r="I33" i="26"/>
  <c r="G33" i="26"/>
  <c r="E33" i="26"/>
  <c r="AY32" i="26"/>
  <c r="AW32" i="26"/>
  <c r="AU32" i="26"/>
  <c r="AR32" i="26"/>
  <c r="AP32" i="26"/>
  <c r="AN32" i="26"/>
  <c r="AJ32" i="26"/>
  <c r="AH32" i="26"/>
  <c r="AF32" i="26"/>
  <c r="AD32" i="26"/>
  <c r="AB32" i="26"/>
  <c r="Z32" i="26"/>
  <c r="S32" i="26"/>
  <c r="Q32" i="26"/>
  <c r="O32" i="26"/>
  <c r="M32" i="26"/>
  <c r="K32" i="26"/>
  <c r="I32" i="26"/>
  <c r="G32" i="26"/>
  <c r="E32" i="26"/>
  <c r="AY31" i="26"/>
  <c r="AW31" i="26"/>
  <c r="AU31" i="26"/>
  <c r="AR31" i="26"/>
  <c r="AP31" i="26"/>
  <c r="AN31" i="26"/>
  <c r="AJ31" i="26"/>
  <c r="AH31" i="26"/>
  <c r="AF31" i="26"/>
  <c r="AD31" i="26"/>
  <c r="AB31" i="26"/>
  <c r="Z31" i="26"/>
  <c r="S31" i="26"/>
  <c r="Q31" i="26"/>
  <c r="O31" i="26"/>
  <c r="M31" i="26"/>
  <c r="K31" i="26"/>
  <c r="I31" i="26"/>
  <c r="G31" i="26"/>
  <c r="E31" i="26"/>
  <c r="AY30" i="26"/>
  <c r="AW30" i="26"/>
  <c r="AU30" i="26"/>
  <c r="AR30" i="26"/>
  <c r="AP30" i="26"/>
  <c r="AN30" i="26"/>
  <c r="AJ30" i="26"/>
  <c r="AH30" i="26"/>
  <c r="AF30" i="26"/>
  <c r="AD30" i="26"/>
  <c r="AB30" i="26"/>
  <c r="Z30" i="26"/>
  <c r="S30" i="26"/>
  <c r="Q30" i="26"/>
  <c r="O30" i="26"/>
  <c r="M30" i="26"/>
  <c r="K30" i="26"/>
  <c r="I30" i="26"/>
  <c r="G30" i="26"/>
  <c r="E30" i="26"/>
  <c r="AY29" i="26"/>
  <c r="AW29" i="26"/>
  <c r="AU29" i="26"/>
  <c r="AR29" i="26"/>
  <c r="AP29" i="26"/>
  <c r="AN29" i="26"/>
  <c r="AJ29" i="26"/>
  <c r="AH29" i="26"/>
  <c r="AF29" i="26"/>
  <c r="AD29" i="26"/>
  <c r="AB29" i="26"/>
  <c r="Z29" i="26"/>
  <c r="S29" i="26"/>
  <c r="Q29" i="26"/>
  <c r="O29" i="26"/>
  <c r="M29" i="26"/>
  <c r="K29" i="26"/>
  <c r="I29" i="26"/>
  <c r="G29" i="26"/>
  <c r="E29" i="26"/>
  <c r="AY28" i="26"/>
  <c r="AW28" i="26"/>
  <c r="AU28" i="26"/>
  <c r="AR28" i="26"/>
  <c r="AP28" i="26"/>
  <c r="AN28" i="26"/>
  <c r="AJ28" i="26"/>
  <c r="AH28" i="26"/>
  <c r="AF28" i="26"/>
  <c r="AD28" i="26"/>
  <c r="AB28" i="26"/>
  <c r="Z28" i="26"/>
  <c r="S28" i="26"/>
  <c r="Q28" i="26"/>
  <c r="O28" i="26"/>
  <c r="M28" i="26"/>
  <c r="K28" i="26"/>
  <c r="I28" i="26"/>
  <c r="G28" i="26"/>
  <c r="E28" i="26"/>
  <c r="AY27" i="26"/>
  <c r="AW27" i="26"/>
  <c r="AU27" i="26"/>
  <c r="AR27" i="26"/>
  <c r="AP27" i="26"/>
  <c r="AN27" i="26"/>
  <c r="AJ27" i="26"/>
  <c r="AH27" i="26"/>
  <c r="AF27" i="26"/>
  <c r="AD27" i="26"/>
  <c r="AB27" i="26"/>
  <c r="Z27" i="26"/>
  <c r="S27" i="26"/>
  <c r="Q27" i="26"/>
  <c r="O27" i="26"/>
  <c r="M27" i="26"/>
  <c r="K27" i="26"/>
  <c r="I27" i="26"/>
  <c r="G27" i="26"/>
  <c r="E27" i="26"/>
  <c r="AY26" i="26"/>
  <c r="AW26" i="26"/>
  <c r="AU26" i="26"/>
  <c r="AR26" i="26"/>
  <c r="AP26" i="26"/>
  <c r="AN26" i="26"/>
  <c r="AJ26" i="26"/>
  <c r="AH26" i="26"/>
  <c r="AF26" i="26"/>
  <c r="AD26" i="26"/>
  <c r="AB26" i="26"/>
  <c r="Z26" i="26"/>
  <c r="S26" i="26"/>
  <c r="Q26" i="26"/>
  <c r="O26" i="26"/>
  <c r="M26" i="26"/>
  <c r="K26" i="26"/>
  <c r="I26" i="26"/>
  <c r="G26" i="26"/>
  <c r="E26" i="26"/>
  <c r="AY25" i="26"/>
  <c r="AW25" i="26"/>
  <c r="AU25" i="26"/>
  <c r="AR25" i="26"/>
  <c r="AP25" i="26"/>
  <c r="AN25" i="26"/>
  <c r="AJ25" i="26"/>
  <c r="AH25" i="26"/>
  <c r="AF25" i="26"/>
  <c r="AD25" i="26"/>
  <c r="AB25" i="26"/>
  <c r="Z25" i="26"/>
  <c r="S25" i="26"/>
  <c r="Q25" i="26"/>
  <c r="O25" i="26"/>
  <c r="M25" i="26"/>
  <c r="K25" i="26"/>
  <c r="I25" i="26"/>
  <c r="G25" i="26"/>
  <c r="E25" i="26"/>
  <c r="AY24" i="26"/>
  <c r="AW24" i="26"/>
  <c r="AU24" i="26"/>
  <c r="AR24" i="26"/>
  <c r="AP24" i="26"/>
  <c r="AN24" i="26"/>
  <c r="AJ24" i="26"/>
  <c r="AH24" i="26"/>
  <c r="AF24" i="26"/>
  <c r="AD24" i="26"/>
  <c r="AB24" i="26"/>
  <c r="Z24" i="26"/>
  <c r="S24" i="26"/>
  <c r="Q24" i="26"/>
  <c r="O24" i="26"/>
  <c r="M24" i="26"/>
  <c r="K24" i="26"/>
  <c r="I24" i="26"/>
  <c r="G24" i="26"/>
  <c r="E24" i="26"/>
  <c r="AY23" i="26"/>
  <c r="AW23" i="26"/>
  <c r="AU23" i="26"/>
  <c r="AR23" i="26"/>
  <c r="AP23" i="26"/>
  <c r="AN23" i="26"/>
  <c r="AJ23" i="26"/>
  <c r="AH23" i="26"/>
  <c r="AF23" i="26"/>
  <c r="AD23" i="26"/>
  <c r="AB23" i="26"/>
  <c r="Z23" i="26"/>
  <c r="S23" i="26"/>
  <c r="Q23" i="26"/>
  <c r="O23" i="26"/>
  <c r="M23" i="26"/>
  <c r="K23" i="26"/>
  <c r="I23" i="26"/>
  <c r="G23" i="26"/>
  <c r="E23" i="26"/>
  <c r="AY22" i="26"/>
  <c r="AW22" i="26"/>
  <c r="AU22" i="26"/>
  <c r="AR22" i="26"/>
  <c r="AP22" i="26"/>
  <c r="AN22" i="26"/>
  <c r="AJ22" i="26"/>
  <c r="AH22" i="26"/>
  <c r="AF22" i="26"/>
  <c r="AD22" i="26"/>
  <c r="AB22" i="26"/>
  <c r="Z22" i="26"/>
  <c r="S22" i="26"/>
  <c r="Q22" i="26"/>
  <c r="O22" i="26"/>
  <c r="M22" i="26"/>
  <c r="K22" i="26"/>
  <c r="I22" i="26"/>
  <c r="G22" i="26"/>
  <c r="E22" i="26"/>
  <c r="AY21" i="26"/>
  <c r="AW21" i="26"/>
  <c r="AU21" i="26"/>
  <c r="AR21" i="26"/>
  <c r="AP21" i="26"/>
  <c r="AN21" i="26"/>
  <c r="AJ21" i="26"/>
  <c r="AH21" i="26"/>
  <c r="AF21" i="26"/>
  <c r="AD21" i="26"/>
  <c r="AB21" i="26"/>
  <c r="Z21" i="26"/>
  <c r="S21" i="26"/>
  <c r="Q21" i="26"/>
  <c r="O21" i="26"/>
  <c r="M21" i="26"/>
  <c r="K21" i="26"/>
  <c r="I21" i="26"/>
  <c r="G21" i="26"/>
  <c r="E21" i="26"/>
  <c r="AY20" i="26"/>
  <c r="AW20" i="26"/>
  <c r="AU20" i="26"/>
  <c r="AR20" i="26"/>
  <c r="AP20" i="26"/>
  <c r="AN20" i="26"/>
  <c r="AJ20" i="26"/>
  <c r="AH20" i="26"/>
  <c r="AF20" i="26"/>
  <c r="AD20" i="26"/>
  <c r="AB20" i="26"/>
  <c r="Z20" i="26"/>
  <c r="S20" i="26"/>
  <c r="Q20" i="26"/>
  <c r="O20" i="26"/>
  <c r="M20" i="26"/>
  <c r="K20" i="26"/>
  <c r="I20" i="26"/>
  <c r="G20" i="26"/>
  <c r="E20" i="26"/>
  <c r="AY19" i="26"/>
  <c r="AW19" i="26"/>
  <c r="AU19" i="26"/>
  <c r="AR19" i="26"/>
  <c r="AP19" i="26"/>
  <c r="AN19" i="26"/>
  <c r="AJ19" i="26"/>
  <c r="AH19" i="26"/>
  <c r="AF19" i="26"/>
  <c r="AD19" i="26"/>
  <c r="AB19" i="26"/>
  <c r="Z19" i="26"/>
  <c r="S19" i="26"/>
  <c r="Q19" i="26"/>
  <c r="O19" i="26"/>
  <c r="M19" i="26"/>
  <c r="K19" i="26"/>
  <c r="I19" i="26"/>
  <c r="G19" i="26"/>
  <c r="E19" i="26"/>
  <c r="AY18" i="26"/>
  <c r="AW18" i="26"/>
  <c r="AU18" i="26"/>
  <c r="AR18" i="26"/>
  <c r="AP18" i="26"/>
  <c r="AN18" i="26"/>
  <c r="AJ18" i="26"/>
  <c r="AH18" i="26"/>
  <c r="AF18" i="26"/>
  <c r="AD18" i="26"/>
  <c r="AB18" i="26"/>
  <c r="Z18" i="26"/>
  <c r="S18" i="26"/>
  <c r="Q18" i="26"/>
  <c r="O18" i="26"/>
  <c r="M18" i="26"/>
  <c r="K18" i="26"/>
  <c r="I18" i="26"/>
  <c r="G18" i="26"/>
  <c r="E18" i="26"/>
  <c r="AY17" i="26"/>
  <c r="AW17" i="26"/>
  <c r="AU17" i="26"/>
  <c r="AR17" i="26"/>
  <c r="AP17" i="26"/>
  <c r="AN17" i="26"/>
  <c r="AJ17" i="26"/>
  <c r="AH17" i="26"/>
  <c r="AF17" i="26"/>
  <c r="AD17" i="26"/>
  <c r="AB17" i="26"/>
  <c r="Z17" i="26"/>
  <c r="S17" i="26"/>
  <c r="Q17" i="26"/>
  <c r="O17" i="26"/>
  <c r="M17" i="26"/>
  <c r="K17" i="26"/>
  <c r="I17" i="26"/>
  <c r="G17" i="26"/>
  <c r="E17" i="26"/>
  <c r="AY16" i="26"/>
  <c r="AW16" i="26"/>
  <c r="AU16" i="26"/>
  <c r="AR16" i="26"/>
  <c r="AP16" i="26"/>
  <c r="AN16" i="26"/>
  <c r="AJ16" i="26"/>
  <c r="AH16" i="26"/>
  <c r="AF16" i="26"/>
  <c r="AD16" i="26"/>
  <c r="AB16" i="26"/>
  <c r="Z16" i="26"/>
  <c r="S16" i="26"/>
  <c r="Q16" i="26"/>
  <c r="O16" i="26"/>
  <c r="M16" i="26"/>
  <c r="K16" i="26"/>
  <c r="I16" i="26"/>
  <c r="G16" i="26"/>
  <c r="E16" i="26"/>
  <c r="AY15" i="26"/>
  <c r="AW15" i="26"/>
  <c r="AU15" i="26"/>
  <c r="AR15" i="26"/>
  <c r="AP15" i="26"/>
  <c r="AN15" i="26"/>
  <c r="AJ15" i="26"/>
  <c r="AH15" i="26"/>
  <c r="AF15" i="26"/>
  <c r="AD15" i="26"/>
  <c r="AB15" i="26"/>
  <c r="Z15" i="26"/>
  <c r="S15" i="26"/>
  <c r="Q15" i="26"/>
  <c r="O15" i="26"/>
  <c r="M15" i="26"/>
  <c r="K15" i="26"/>
  <c r="I15" i="26"/>
  <c r="G15" i="26"/>
  <c r="E15" i="26"/>
  <c r="AY14" i="26"/>
  <c r="AW14" i="26"/>
  <c r="AU14" i="26"/>
  <c r="AR14" i="26"/>
  <c r="AP14" i="26"/>
  <c r="AN14" i="26"/>
  <c r="AJ14" i="26"/>
  <c r="AH14" i="26"/>
  <c r="AF14" i="26"/>
  <c r="AD14" i="26"/>
  <c r="AB14" i="26"/>
  <c r="Z14" i="26"/>
  <c r="S14" i="26"/>
  <c r="Q14" i="26"/>
  <c r="O14" i="26"/>
  <c r="M14" i="26"/>
  <c r="K14" i="26"/>
  <c r="I14" i="26"/>
  <c r="G14" i="26"/>
  <c r="E14" i="26"/>
  <c r="AY13" i="26"/>
  <c r="AW13" i="26"/>
  <c r="AU13" i="26"/>
  <c r="AR13" i="26"/>
  <c r="AP13" i="26"/>
  <c r="AN13" i="26"/>
  <c r="AJ13" i="26"/>
  <c r="AH13" i="26"/>
  <c r="AF13" i="26"/>
  <c r="AD13" i="26"/>
  <c r="AB13" i="26"/>
  <c r="Z13" i="26"/>
  <c r="S13" i="26"/>
  <c r="Q13" i="26"/>
  <c r="O13" i="26"/>
  <c r="M13" i="26"/>
  <c r="K13" i="26"/>
  <c r="I13" i="26"/>
  <c r="G13" i="26"/>
  <c r="E13" i="26"/>
  <c r="AY12" i="26"/>
  <c r="AW12" i="26"/>
  <c r="AU12" i="26"/>
  <c r="AR12" i="26"/>
  <c r="AP12" i="26"/>
  <c r="AN12" i="26"/>
  <c r="AJ12" i="26"/>
  <c r="AH12" i="26"/>
  <c r="AF12" i="26"/>
  <c r="AD12" i="26"/>
  <c r="AB12" i="26"/>
  <c r="Z12" i="26"/>
  <c r="S12" i="26"/>
  <c r="Q12" i="26"/>
  <c r="O12" i="26"/>
  <c r="M12" i="26"/>
  <c r="K12" i="26"/>
  <c r="I12" i="26"/>
  <c r="G12" i="26"/>
  <c r="E12" i="26"/>
  <c r="AY11" i="26"/>
  <c r="AW11" i="26"/>
  <c r="AU11" i="26"/>
  <c r="AR11" i="26"/>
  <c r="AP11" i="26"/>
  <c r="AN11" i="26"/>
  <c r="AJ11" i="26"/>
  <c r="AH11" i="26"/>
  <c r="AF11" i="26"/>
  <c r="AD11" i="26"/>
  <c r="AB11" i="26"/>
  <c r="Z11" i="26"/>
  <c r="S11" i="26"/>
  <c r="Q11" i="26"/>
  <c r="O11" i="26"/>
  <c r="M11" i="26"/>
  <c r="K11" i="26"/>
  <c r="I11" i="26"/>
  <c r="G11" i="26"/>
  <c r="E11" i="26"/>
  <c r="AY10" i="26"/>
  <c r="AW10" i="26"/>
  <c r="AU10" i="26"/>
  <c r="AR10" i="26"/>
  <c r="AP10" i="26"/>
  <c r="AN10" i="26"/>
  <c r="AJ10" i="26"/>
  <c r="AH10" i="26"/>
  <c r="AF10" i="26"/>
  <c r="AD10" i="26"/>
  <c r="AB10" i="26"/>
  <c r="Z10" i="26"/>
  <c r="S10" i="26"/>
  <c r="Q10" i="26"/>
  <c r="O10" i="26"/>
  <c r="M10" i="26"/>
  <c r="K10" i="26"/>
  <c r="I10" i="26"/>
  <c r="G10" i="26"/>
  <c r="E10" i="26"/>
  <c r="U47" i="26"/>
  <c r="AY48" i="26"/>
  <c r="AW47" i="26"/>
  <c r="AW48" i="26"/>
  <c r="AB47" i="26"/>
  <c r="G69" i="26"/>
  <c r="AP47" i="26"/>
  <c r="AP48" i="26"/>
  <c r="AF47" i="26"/>
  <c r="AF48" i="26" s="1"/>
  <c r="I47" i="26"/>
  <c r="I48" i="26" s="1"/>
  <c r="AJ47" i="26"/>
  <c r="M47" i="13"/>
  <c r="N47" i="13"/>
  <c r="K47" i="13"/>
  <c r="I47" i="13"/>
  <c r="G47" i="13"/>
  <c r="E47" i="13"/>
  <c r="C47" i="13"/>
  <c r="B47" i="13"/>
  <c r="D47" i="13" s="1"/>
  <c r="AB48" i="26"/>
  <c r="D46" i="25"/>
  <c r="E46" i="25" s="1"/>
  <c r="AL47" i="22"/>
  <c r="B59" i="25"/>
  <c r="G69" i="25" s="1"/>
  <c r="AY45" i="25"/>
  <c r="AW45" i="25"/>
  <c r="AU45" i="25"/>
  <c r="AR45" i="25"/>
  <c r="AP45" i="25"/>
  <c r="AN45" i="25"/>
  <c r="AJ45" i="25"/>
  <c r="AH45" i="25"/>
  <c r="AF45" i="25"/>
  <c r="AD45" i="25"/>
  <c r="AB45" i="25"/>
  <c r="Z45" i="25"/>
  <c r="W45" i="25"/>
  <c r="U45" i="25"/>
  <c r="Q45" i="25"/>
  <c r="M45" i="25"/>
  <c r="I45" i="25"/>
  <c r="E45" i="25"/>
  <c r="S45" i="25"/>
  <c r="AY44" i="25"/>
  <c r="AW44" i="25"/>
  <c r="AU44" i="25"/>
  <c r="AR44" i="25"/>
  <c r="AN44" i="25"/>
  <c r="AJ44" i="25"/>
  <c r="AF44" i="25"/>
  <c r="AB44" i="25"/>
  <c r="Z44" i="25"/>
  <c r="AP44" i="25"/>
  <c r="W44" i="25"/>
  <c r="U44" i="25"/>
  <c r="Q44" i="25"/>
  <c r="M44" i="25"/>
  <c r="I44" i="25"/>
  <c r="E44" i="25"/>
  <c r="AD44" i="25"/>
  <c r="AY43" i="25"/>
  <c r="AW43" i="25"/>
  <c r="AU43" i="25"/>
  <c r="AR43" i="25"/>
  <c r="AN43" i="25"/>
  <c r="AJ43" i="25"/>
  <c r="AF43" i="25"/>
  <c r="AB43" i="25"/>
  <c r="AP43" i="25"/>
  <c r="W43" i="25"/>
  <c r="U43" i="25"/>
  <c r="Q43" i="25"/>
  <c r="M43" i="25"/>
  <c r="I43" i="25"/>
  <c r="E43" i="25"/>
  <c r="AD43" i="25"/>
  <c r="AY42" i="25"/>
  <c r="AW42" i="25"/>
  <c r="AU42" i="25"/>
  <c r="AR42" i="25"/>
  <c r="AN42" i="25"/>
  <c r="AJ42" i="25"/>
  <c r="AF42" i="25"/>
  <c r="AB42" i="25"/>
  <c r="AP42" i="25"/>
  <c r="W42" i="25"/>
  <c r="U42" i="25"/>
  <c r="Q42" i="25"/>
  <c r="M42" i="25"/>
  <c r="I42" i="25"/>
  <c r="E42" i="25"/>
  <c r="AD42" i="25"/>
  <c r="AY41" i="25"/>
  <c r="AW41" i="25"/>
  <c r="AU41" i="25"/>
  <c r="AR41" i="25"/>
  <c r="AJ41" i="25"/>
  <c r="AH41" i="25"/>
  <c r="AD41" i="25"/>
  <c r="Z41" i="25"/>
  <c r="W41" i="25"/>
  <c r="U41" i="25"/>
  <c r="S41" i="25"/>
  <c r="Q41" i="25"/>
  <c r="M41" i="25"/>
  <c r="K41" i="25"/>
  <c r="I41" i="25"/>
  <c r="G41" i="25"/>
  <c r="E41" i="25"/>
  <c r="AF41" i="25"/>
  <c r="AY40" i="25"/>
  <c r="AU40" i="25"/>
  <c r="AW40" i="25"/>
  <c r="AP40" i="25"/>
  <c r="AH40" i="25"/>
  <c r="AF40" i="25"/>
  <c r="AD40" i="25"/>
  <c r="Z40" i="25"/>
  <c r="AR40" i="25"/>
  <c r="W40" i="25"/>
  <c r="U40" i="25"/>
  <c r="S40" i="25"/>
  <c r="Q40" i="25"/>
  <c r="O40" i="25"/>
  <c r="M40" i="25"/>
  <c r="K40" i="25"/>
  <c r="I40" i="25"/>
  <c r="G40" i="25"/>
  <c r="E40" i="25"/>
  <c r="AY39" i="25"/>
  <c r="AU39" i="25"/>
  <c r="AW39" i="25"/>
  <c r="AP39" i="25"/>
  <c r="AH39" i="25"/>
  <c r="AF39" i="25"/>
  <c r="AD39" i="25"/>
  <c r="Z39" i="25"/>
  <c r="AR39" i="25"/>
  <c r="W39" i="25"/>
  <c r="U39" i="25"/>
  <c r="S39" i="25"/>
  <c r="Q39" i="25"/>
  <c r="O39" i="25"/>
  <c r="M39" i="25"/>
  <c r="K39" i="25"/>
  <c r="I39" i="25"/>
  <c r="G39" i="25"/>
  <c r="E39" i="25"/>
  <c r="AY38" i="25"/>
  <c r="AU38" i="25"/>
  <c r="AW38" i="25"/>
  <c r="AP38" i="25"/>
  <c r="AH38" i="25"/>
  <c r="AF38" i="25"/>
  <c r="AD38" i="25"/>
  <c r="Z38" i="25"/>
  <c r="AR38" i="25"/>
  <c r="W38" i="25"/>
  <c r="U38" i="25"/>
  <c r="S38" i="25"/>
  <c r="Q38" i="25"/>
  <c r="O38" i="25"/>
  <c r="M38" i="25"/>
  <c r="K38" i="25"/>
  <c r="I38" i="25"/>
  <c r="G38" i="25"/>
  <c r="E38" i="25"/>
  <c r="AY37" i="25"/>
  <c r="AU37" i="25"/>
  <c r="AW37" i="25"/>
  <c r="AP37" i="25"/>
  <c r="AH37" i="25"/>
  <c r="AF37" i="25"/>
  <c r="AD37" i="25"/>
  <c r="Z37" i="25"/>
  <c r="AR37" i="25"/>
  <c r="W37" i="25"/>
  <c r="U37" i="25"/>
  <c r="S37" i="25"/>
  <c r="Q37" i="25"/>
  <c r="O37" i="25"/>
  <c r="M37" i="25"/>
  <c r="K37" i="25"/>
  <c r="I37" i="25"/>
  <c r="G37" i="25"/>
  <c r="E37" i="25"/>
  <c r="AY36" i="25"/>
  <c r="AU36" i="25"/>
  <c r="AW36" i="25"/>
  <c r="AP36" i="25"/>
  <c r="AH36" i="25"/>
  <c r="AF36" i="25"/>
  <c r="AD36" i="25"/>
  <c r="Z36" i="25"/>
  <c r="AR36" i="25"/>
  <c r="W36" i="25"/>
  <c r="U36" i="25"/>
  <c r="S36" i="25"/>
  <c r="Q36" i="25"/>
  <c r="O36" i="25"/>
  <c r="M36" i="25"/>
  <c r="K36" i="25"/>
  <c r="I36" i="25"/>
  <c r="G36" i="25"/>
  <c r="E36" i="25"/>
  <c r="AY35" i="25"/>
  <c r="AU35" i="25"/>
  <c r="AW35" i="25"/>
  <c r="AP35" i="25"/>
  <c r="AH35" i="25"/>
  <c r="AD35" i="25"/>
  <c r="Z35" i="25"/>
  <c r="AR35" i="25"/>
  <c r="W35" i="25"/>
  <c r="S35" i="25"/>
  <c r="O35" i="25"/>
  <c r="K35" i="25"/>
  <c r="G35" i="25"/>
  <c r="AF35" i="25"/>
  <c r="AY34" i="25"/>
  <c r="AU34" i="25"/>
  <c r="AW34" i="25"/>
  <c r="AR34" i="25"/>
  <c r="AP34" i="25"/>
  <c r="AN34" i="25"/>
  <c r="AJ34" i="25"/>
  <c r="AH34" i="25"/>
  <c r="AF34" i="25"/>
  <c r="AD34" i="25"/>
  <c r="AB34" i="25"/>
  <c r="Z34" i="25"/>
  <c r="W34" i="25"/>
  <c r="S34" i="25"/>
  <c r="AY33" i="25"/>
  <c r="AU33" i="25"/>
  <c r="AW33" i="25"/>
  <c r="AR33" i="25"/>
  <c r="AP33" i="25"/>
  <c r="AN33" i="25"/>
  <c r="AJ33" i="25"/>
  <c r="AH33" i="25"/>
  <c r="AF33" i="25"/>
  <c r="AD33" i="25"/>
  <c r="AB33" i="25"/>
  <c r="Z33" i="25"/>
  <c r="W33" i="25"/>
  <c r="S33" i="25"/>
  <c r="AY32" i="25"/>
  <c r="AU32" i="25"/>
  <c r="AW32" i="25"/>
  <c r="AR32" i="25"/>
  <c r="AP32" i="25"/>
  <c r="AN32" i="25"/>
  <c r="AJ32" i="25"/>
  <c r="AH32" i="25"/>
  <c r="AF32" i="25"/>
  <c r="AD32" i="25"/>
  <c r="AB32" i="25"/>
  <c r="Z32" i="25"/>
  <c r="W32" i="25"/>
  <c r="S32" i="25"/>
  <c r="AY31" i="25"/>
  <c r="AU31" i="25"/>
  <c r="AW31" i="25"/>
  <c r="AR31" i="25"/>
  <c r="AP31" i="25"/>
  <c r="AN31" i="25"/>
  <c r="AJ31" i="25"/>
  <c r="AH31" i="25"/>
  <c r="AF31" i="25"/>
  <c r="AD31" i="25"/>
  <c r="AB31" i="25"/>
  <c r="Z31" i="25"/>
  <c r="W31" i="25"/>
  <c r="S31" i="25"/>
  <c r="AY30" i="25"/>
  <c r="AU30" i="25"/>
  <c r="AW30" i="25"/>
  <c r="AR30" i="25"/>
  <c r="AP30" i="25"/>
  <c r="AN30" i="25"/>
  <c r="AJ30" i="25"/>
  <c r="AH30" i="25"/>
  <c r="AF30" i="25"/>
  <c r="AD30" i="25"/>
  <c r="AB30" i="25"/>
  <c r="Z30" i="25"/>
  <c r="W30" i="25"/>
  <c r="S30" i="25"/>
  <c r="AY29" i="25"/>
  <c r="AU29" i="25"/>
  <c r="AW29" i="25"/>
  <c r="AR29" i="25"/>
  <c r="AP29" i="25"/>
  <c r="AN29" i="25"/>
  <c r="AJ29" i="25"/>
  <c r="AH29" i="25"/>
  <c r="AF29" i="25"/>
  <c r="AD29" i="25"/>
  <c r="AB29" i="25"/>
  <c r="Z29" i="25"/>
  <c r="W29" i="25"/>
  <c r="S29" i="25"/>
  <c r="AY28" i="25"/>
  <c r="AU28" i="25"/>
  <c r="AW28" i="25"/>
  <c r="AR28" i="25"/>
  <c r="AP28" i="25"/>
  <c r="AN28" i="25"/>
  <c r="AJ28" i="25"/>
  <c r="AH28" i="25"/>
  <c r="AF28" i="25"/>
  <c r="AD28" i="25"/>
  <c r="AB28" i="25"/>
  <c r="Z28" i="25"/>
  <c r="W28" i="25"/>
  <c r="S28" i="25"/>
  <c r="AY27" i="25"/>
  <c r="AU27" i="25"/>
  <c r="AW27" i="25"/>
  <c r="AR27" i="25"/>
  <c r="AP27" i="25"/>
  <c r="AN27" i="25"/>
  <c r="AJ27" i="25"/>
  <c r="AH27" i="25"/>
  <c r="AF27" i="25"/>
  <c r="AD27" i="25"/>
  <c r="AB27" i="25"/>
  <c r="Z27" i="25"/>
  <c r="W27" i="25"/>
  <c r="S27" i="25"/>
  <c r="AU26" i="25"/>
  <c r="AP26" i="25"/>
  <c r="AN26" i="25"/>
  <c r="AJ26" i="25"/>
  <c r="AH26" i="25"/>
  <c r="AB26" i="25"/>
  <c r="Z26" i="25"/>
  <c r="AR26" i="25"/>
  <c r="W26" i="25"/>
  <c r="S26" i="25"/>
  <c r="AY25" i="25"/>
  <c r="AU25" i="25"/>
  <c r="AW25" i="25"/>
  <c r="AR25" i="25"/>
  <c r="AP25" i="25"/>
  <c r="AN25" i="25"/>
  <c r="AJ25" i="25"/>
  <c r="AH25" i="25"/>
  <c r="AF25" i="25"/>
  <c r="AD25" i="25"/>
  <c r="AB25" i="25"/>
  <c r="Z25" i="25"/>
  <c r="W25" i="25"/>
  <c r="S25" i="25"/>
  <c r="AY24" i="25"/>
  <c r="AU24" i="25"/>
  <c r="AW24" i="25"/>
  <c r="AR24" i="25"/>
  <c r="AP24" i="25"/>
  <c r="AN24" i="25"/>
  <c r="AJ24" i="25"/>
  <c r="AH24" i="25"/>
  <c r="AF24" i="25"/>
  <c r="AD24" i="25"/>
  <c r="AB24" i="25"/>
  <c r="Z24" i="25"/>
  <c r="W24" i="25"/>
  <c r="S24" i="25"/>
  <c r="AY23" i="25"/>
  <c r="AU23" i="25"/>
  <c r="AW23" i="25"/>
  <c r="AR23" i="25"/>
  <c r="AP23" i="25"/>
  <c r="AN23" i="25"/>
  <c r="AJ23" i="25"/>
  <c r="AH23" i="25"/>
  <c r="AF23" i="25"/>
  <c r="AD23" i="25"/>
  <c r="AB23" i="25"/>
  <c r="Z23" i="25"/>
  <c r="W23" i="25"/>
  <c r="S23" i="25"/>
  <c r="AY22" i="25"/>
  <c r="AU22" i="25"/>
  <c r="AW22" i="25"/>
  <c r="AR22" i="25"/>
  <c r="AP22" i="25"/>
  <c r="AN22" i="25"/>
  <c r="AJ22" i="25"/>
  <c r="AH22" i="25"/>
  <c r="AF22" i="25"/>
  <c r="AD22" i="25"/>
  <c r="AB22" i="25"/>
  <c r="Z22" i="25"/>
  <c r="W22" i="25"/>
  <c r="U22" i="25"/>
  <c r="AY21" i="25"/>
  <c r="AU21" i="25"/>
  <c r="AW21" i="25"/>
  <c r="AR21" i="25"/>
  <c r="AP21" i="25"/>
  <c r="AN21" i="25"/>
  <c r="AJ21" i="25"/>
  <c r="AH21" i="25"/>
  <c r="AF21" i="25"/>
  <c r="AD21" i="25"/>
  <c r="AB21" i="25"/>
  <c r="Z21" i="25"/>
  <c r="W21" i="25"/>
  <c r="U21" i="25"/>
  <c r="AY20" i="25"/>
  <c r="AU20" i="25"/>
  <c r="AW20" i="25"/>
  <c r="AR20" i="25"/>
  <c r="AP20" i="25"/>
  <c r="AN20" i="25"/>
  <c r="AJ20" i="25"/>
  <c r="AH20" i="25"/>
  <c r="AF20" i="25"/>
  <c r="AD20" i="25"/>
  <c r="AB20" i="25"/>
  <c r="Z20" i="25"/>
  <c r="W20" i="25"/>
  <c r="U20" i="25"/>
  <c r="S20" i="25"/>
  <c r="Q20" i="25"/>
  <c r="O20" i="25"/>
  <c r="I20" i="25"/>
  <c r="G20" i="25"/>
  <c r="E20" i="25"/>
  <c r="AY19" i="25"/>
  <c r="AU19" i="25"/>
  <c r="AW19" i="25"/>
  <c r="AR19" i="25"/>
  <c r="AP19" i="25"/>
  <c r="AN19" i="25"/>
  <c r="AJ19" i="25"/>
  <c r="AH19" i="25"/>
  <c r="AF19" i="25"/>
  <c r="AD19" i="25"/>
  <c r="AB19" i="25"/>
  <c r="Z19" i="25"/>
  <c r="W19" i="25"/>
  <c r="S19" i="25"/>
  <c r="AY18" i="25"/>
  <c r="AU18" i="25"/>
  <c r="AW18" i="25"/>
  <c r="AR18" i="25"/>
  <c r="AP18" i="25"/>
  <c r="AN18" i="25"/>
  <c r="AJ18" i="25"/>
  <c r="AH18" i="25"/>
  <c r="AF18" i="25"/>
  <c r="AD18" i="25"/>
  <c r="AB18" i="25"/>
  <c r="Z18" i="25"/>
  <c r="W18" i="25"/>
  <c r="S18" i="25"/>
  <c r="AY17" i="25"/>
  <c r="AU17" i="25"/>
  <c r="AW17" i="25"/>
  <c r="AR17" i="25"/>
  <c r="AP17" i="25"/>
  <c r="AN17" i="25"/>
  <c r="AJ17" i="25"/>
  <c r="AH17" i="25"/>
  <c r="AF17" i="25"/>
  <c r="AB17" i="25"/>
  <c r="Z17" i="25"/>
  <c r="W17" i="25"/>
  <c r="U17" i="25"/>
  <c r="AY16" i="25"/>
  <c r="AU16" i="25"/>
  <c r="AW16" i="25"/>
  <c r="AR16" i="25"/>
  <c r="AP16" i="25"/>
  <c r="AN16" i="25"/>
  <c r="AJ16" i="25"/>
  <c r="AH16" i="25"/>
  <c r="AF16" i="25"/>
  <c r="AB16" i="25"/>
  <c r="Z16" i="25"/>
  <c r="W16" i="25"/>
  <c r="M16" i="25"/>
  <c r="I16" i="25"/>
  <c r="E16" i="25"/>
  <c r="U16" i="25"/>
  <c r="AY15" i="25"/>
  <c r="AU15" i="25"/>
  <c r="AW15" i="25"/>
  <c r="AR15" i="25"/>
  <c r="AP15" i="25"/>
  <c r="AJ15" i="25"/>
  <c r="AH15" i="25"/>
  <c r="AF15" i="25"/>
  <c r="AD15" i="25"/>
  <c r="AB15" i="25"/>
  <c r="Z15" i="25"/>
  <c r="AN15" i="25"/>
  <c r="W15" i="25"/>
  <c r="U15" i="25"/>
  <c r="S15" i="25"/>
  <c r="Q15" i="25"/>
  <c r="O15" i="25"/>
  <c r="M15" i="25"/>
  <c r="K15" i="25"/>
  <c r="I15" i="25"/>
  <c r="G15" i="25"/>
  <c r="E15" i="25"/>
  <c r="AY14" i="25"/>
  <c r="AU14" i="25"/>
  <c r="AW14" i="25"/>
  <c r="AR14" i="25"/>
  <c r="AP14" i="25"/>
  <c r="AN14" i="25"/>
  <c r="AJ14" i="25"/>
  <c r="AH14" i="25"/>
  <c r="AF14" i="25"/>
  <c r="AD14" i="25"/>
  <c r="AB14" i="25"/>
  <c r="Z14" i="25"/>
  <c r="W14" i="25"/>
  <c r="U14" i="25"/>
  <c r="S14" i="25"/>
  <c r="Q14" i="25"/>
  <c r="O14" i="25"/>
  <c r="M14" i="25"/>
  <c r="K14" i="25"/>
  <c r="I14" i="25"/>
  <c r="G14" i="25"/>
  <c r="E14" i="25"/>
  <c r="AY13" i="25"/>
  <c r="AU13" i="25"/>
  <c r="AW13" i="25"/>
  <c r="AR13" i="25"/>
  <c r="AP13" i="25"/>
  <c r="AN13" i="25"/>
  <c r="AJ13" i="25"/>
  <c r="AH13" i="25"/>
  <c r="AF13" i="25"/>
  <c r="AD13" i="25"/>
  <c r="AB13" i="25"/>
  <c r="Z13" i="25"/>
  <c r="W13" i="25"/>
  <c r="U13" i="25"/>
  <c r="S13" i="25"/>
  <c r="Q13" i="25"/>
  <c r="O13" i="25"/>
  <c r="M13" i="25"/>
  <c r="K13" i="25"/>
  <c r="I13" i="25"/>
  <c r="G13" i="25"/>
  <c r="E13" i="25"/>
  <c r="AY12" i="25"/>
  <c r="AU12" i="25"/>
  <c r="AW12" i="25"/>
  <c r="AR12" i="25"/>
  <c r="AP12" i="25"/>
  <c r="AN12" i="25"/>
  <c r="AJ12" i="25"/>
  <c r="AH12" i="25"/>
  <c r="AF12" i="25"/>
  <c r="AD12" i="25"/>
  <c r="AB12" i="25"/>
  <c r="Z12" i="25"/>
  <c r="W12" i="25"/>
  <c r="U12" i="25"/>
  <c r="S12" i="25"/>
  <c r="Q12" i="25"/>
  <c r="O12" i="25"/>
  <c r="M12" i="25"/>
  <c r="K12" i="25"/>
  <c r="I12" i="25"/>
  <c r="G12" i="25"/>
  <c r="E12" i="25"/>
  <c r="AY11" i="25"/>
  <c r="AU11" i="25"/>
  <c r="AW11" i="25"/>
  <c r="AR11" i="25"/>
  <c r="AP11" i="25"/>
  <c r="AN11" i="25"/>
  <c r="AJ11" i="25"/>
  <c r="AH11" i="25"/>
  <c r="AF11" i="25"/>
  <c r="AD11" i="25"/>
  <c r="AB11" i="25"/>
  <c r="Z11" i="25"/>
  <c r="W11" i="25"/>
  <c r="U11" i="25"/>
  <c r="S11" i="25"/>
  <c r="Q11" i="25"/>
  <c r="O11" i="25"/>
  <c r="M11" i="25"/>
  <c r="K11" i="25"/>
  <c r="I11" i="25"/>
  <c r="G11" i="25"/>
  <c r="E11" i="25"/>
  <c r="BB46" i="25"/>
  <c r="BA46" i="25"/>
  <c r="AZ46" i="25"/>
  <c r="AX46" i="25"/>
  <c r="AV46" i="25"/>
  <c r="AT46" i="25"/>
  <c r="AS46" i="25"/>
  <c r="AQ46" i="25"/>
  <c r="AP10" i="25"/>
  <c r="AO46" i="25"/>
  <c r="AM46" i="25"/>
  <c r="AH10" i="25"/>
  <c r="AG46" i="25"/>
  <c r="AE46" i="25"/>
  <c r="AD10" i="25"/>
  <c r="AC46" i="25"/>
  <c r="AA46" i="25"/>
  <c r="Z10" i="25"/>
  <c r="Y46" i="25"/>
  <c r="X46" i="25"/>
  <c r="V46" i="25"/>
  <c r="U10" i="25"/>
  <c r="T46" i="25"/>
  <c r="R46" i="25"/>
  <c r="Q10" i="25"/>
  <c r="P46" i="25"/>
  <c r="N46" i="25"/>
  <c r="M10" i="25"/>
  <c r="L46" i="25"/>
  <c r="J46" i="25"/>
  <c r="I10" i="25"/>
  <c r="H46" i="25"/>
  <c r="F46" i="25"/>
  <c r="E10" i="25"/>
  <c r="C46" i="25"/>
  <c r="N47" i="20"/>
  <c r="L47" i="20"/>
  <c r="J47" i="20"/>
  <c r="F47" i="20"/>
  <c r="C47" i="20"/>
  <c r="M47" i="19"/>
  <c r="N47" i="19"/>
  <c r="K47" i="19"/>
  <c r="I47" i="19"/>
  <c r="G47" i="19"/>
  <c r="E47" i="19"/>
  <c r="C47" i="19"/>
  <c r="B47" i="19"/>
  <c r="N47" i="12"/>
  <c r="M47" i="12"/>
  <c r="K47" i="12"/>
  <c r="I47" i="12"/>
  <c r="G47" i="12"/>
  <c r="E47" i="12"/>
  <c r="C47" i="12"/>
  <c r="B47" i="12"/>
  <c r="N47" i="10"/>
  <c r="M47" i="10"/>
  <c r="K47" i="10"/>
  <c r="I47" i="10"/>
  <c r="G47" i="10"/>
  <c r="E47" i="10"/>
  <c r="C47" i="10"/>
  <c r="B47" i="10"/>
  <c r="N47" i="9"/>
  <c r="M47" i="9"/>
  <c r="K47" i="9"/>
  <c r="I47" i="9"/>
  <c r="G47" i="9"/>
  <c r="E47" i="9"/>
  <c r="C47" i="9"/>
  <c r="B47" i="9"/>
  <c r="N47" i="8"/>
  <c r="M47" i="8"/>
  <c r="K47" i="8"/>
  <c r="I47" i="8"/>
  <c r="G47" i="8"/>
  <c r="E47" i="8"/>
  <c r="C47" i="8"/>
  <c r="B47" i="8"/>
  <c r="N47" i="4"/>
  <c r="M47" i="4"/>
  <c r="K47" i="4"/>
  <c r="I47" i="4"/>
  <c r="G47" i="4"/>
  <c r="E47" i="4"/>
  <c r="C47" i="4"/>
  <c r="B47" i="4"/>
  <c r="N47" i="7"/>
  <c r="M47" i="7"/>
  <c r="I47" i="7"/>
  <c r="G47" i="7"/>
  <c r="E47" i="7"/>
  <c r="C47" i="7"/>
  <c r="B47" i="7"/>
  <c r="K47" i="6"/>
  <c r="L47" i="6"/>
  <c r="I47" i="6"/>
  <c r="G47" i="6"/>
  <c r="E47" i="6"/>
  <c r="C47" i="6"/>
  <c r="B47" i="6"/>
  <c r="B47" i="3"/>
  <c r="M47" i="1"/>
  <c r="O47" i="1" s="1"/>
  <c r="K47" i="1"/>
  <c r="I47" i="1"/>
  <c r="G47" i="1"/>
  <c r="E47" i="1"/>
  <c r="C47" i="1"/>
  <c r="B47" i="1"/>
  <c r="T47" i="2"/>
  <c r="S47" i="2"/>
  <c r="Q47" i="2"/>
  <c r="L47" i="2"/>
  <c r="I47" i="2"/>
  <c r="B47" i="2"/>
  <c r="E47" i="2"/>
  <c r="B59" i="24"/>
  <c r="G61" i="24" s="1"/>
  <c r="AS46" i="24"/>
  <c r="Z46" i="24"/>
  <c r="AR46" i="24" s="1"/>
  <c r="AR47" i="24" s="1"/>
  <c r="C46" i="24"/>
  <c r="AY45" i="24"/>
  <c r="AW45" i="24"/>
  <c r="AU45" i="24"/>
  <c r="AR45" i="24"/>
  <c r="AP45" i="24"/>
  <c r="AL45" i="24"/>
  <c r="AJ45" i="24"/>
  <c r="AH45" i="24"/>
  <c r="AF45" i="24"/>
  <c r="AD45" i="24"/>
  <c r="AB45" i="24"/>
  <c r="Y45" i="24"/>
  <c r="W45" i="24"/>
  <c r="U45" i="24"/>
  <c r="S45" i="24"/>
  <c r="Q45" i="24"/>
  <c r="O45" i="24"/>
  <c r="M45" i="24"/>
  <c r="K45" i="24"/>
  <c r="I45" i="24"/>
  <c r="G45" i="24"/>
  <c r="E45" i="24"/>
  <c r="AY44" i="24"/>
  <c r="AW44" i="24"/>
  <c r="AU44" i="24"/>
  <c r="AR44" i="24"/>
  <c r="AP44" i="24"/>
  <c r="AL44" i="24"/>
  <c r="AJ44" i="24"/>
  <c r="AH44" i="24"/>
  <c r="AF44" i="24"/>
  <c r="AD44" i="24"/>
  <c r="AB44" i="24"/>
  <c r="Y44" i="24"/>
  <c r="W44" i="24"/>
  <c r="U44" i="24"/>
  <c r="S44" i="24"/>
  <c r="Q44" i="24"/>
  <c r="O44" i="24"/>
  <c r="M44" i="24"/>
  <c r="K44" i="24"/>
  <c r="I44" i="24"/>
  <c r="G44" i="24"/>
  <c r="E44" i="24"/>
  <c r="AY43" i="24"/>
  <c r="AW43" i="24"/>
  <c r="AU43" i="24"/>
  <c r="AR43" i="24"/>
  <c r="AP43" i="24"/>
  <c r="AL43" i="24"/>
  <c r="AJ43" i="24"/>
  <c r="AH43" i="24"/>
  <c r="AF43" i="24"/>
  <c r="AD43" i="24"/>
  <c r="AB43" i="24"/>
  <c r="Y43" i="24"/>
  <c r="W43" i="24"/>
  <c r="U43" i="24"/>
  <c r="S43" i="24"/>
  <c r="Q43" i="24"/>
  <c r="O43" i="24"/>
  <c r="M43" i="24"/>
  <c r="K43" i="24"/>
  <c r="I43" i="24"/>
  <c r="G43" i="24"/>
  <c r="E43" i="24"/>
  <c r="AY42" i="24"/>
  <c r="AW42" i="24"/>
  <c r="AU42" i="24"/>
  <c r="AR42" i="24"/>
  <c r="AP42" i="24"/>
  <c r="AL42" i="24"/>
  <c r="AJ42" i="24"/>
  <c r="AH42" i="24"/>
  <c r="AF42" i="24"/>
  <c r="AD42" i="24"/>
  <c r="AB42" i="24"/>
  <c r="Y42" i="24"/>
  <c r="W42" i="24"/>
  <c r="U42" i="24"/>
  <c r="S42" i="24"/>
  <c r="Q42" i="24"/>
  <c r="O42" i="24"/>
  <c r="M42" i="24"/>
  <c r="K42" i="24"/>
  <c r="I42" i="24"/>
  <c r="G42" i="24"/>
  <c r="E42" i="24"/>
  <c r="AY41" i="24"/>
  <c r="AW41" i="24"/>
  <c r="AU41" i="24"/>
  <c r="AR41" i="24"/>
  <c r="AP41" i="24"/>
  <c r="AL41" i="24"/>
  <c r="AJ41" i="24"/>
  <c r="AH41" i="24"/>
  <c r="AF41" i="24"/>
  <c r="AD41" i="24"/>
  <c r="AB41" i="24"/>
  <c r="Y41" i="24"/>
  <c r="W41" i="24"/>
  <c r="U41" i="24"/>
  <c r="S41" i="24"/>
  <c r="Q41" i="24"/>
  <c r="O41" i="24"/>
  <c r="M41" i="24"/>
  <c r="K41" i="24"/>
  <c r="I41" i="24"/>
  <c r="G41" i="24"/>
  <c r="E41" i="24"/>
  <c r="AY40" i="24"/>
  <c r="AW40" i="24"/>
  <c r="AU40" i="24"/>
  <c r="AR40" i="24"/>
  <c r="AP40" i="24"/>
  <c r="AL40" i="24"/>
  <c r="AJ40" i="24"/>
  <c r="AH40" i="24"/>
  <c r="AF40" i="24"/>
  <c r="AD40" i="24"/>
  <c r="AB40" i="24"/>
  <c r="Y40" i="24"/>
  <c r="W40" i="24"/>
  <c r="U40" i="24"/>
  <c r="S40" i="24"/>
  <c r="Q40" i="24"/>
  <c r="O40" i="24"/>
  <c r="M40" i="24"/>
  <c r="K40" i="24"/>
  <c r="I40" i="24"/>
  <c r="G40" i="24"/>
  <c r="E40" i="24"/>
  <c r="AY39" i="24"/>
  <c r="AW39" i="24"/>
  <c r="AU39" i="24"/>
  <c r="AR39" i="24"/>
  <c r="AP39" i="24"/>
  <c r="AL39" i="24"/>
  <c r="AJ39" i="24"/>
  <c r="AH39" i="24"/>
  <c r="AF39" i="24"/>
  <c r="AD39" i="24"/>
  <c r="AB39" i="24"/>
  <c r="Y39" i="24"/>
  <c r="W39" i="24"/>
  <c r="U39" i="24"/>
  <c r="S39" i="24"/>
  <c r="Q39" i="24"/>
  <c r="O39" i="24"/>
  <c r="M39" i="24"/>
  <c r="K39" i="24"/>
  <c r="I39" i="24"/>
  <c r="G39" i="24"/>
  <c r="E39" i="24"/>
  <c r="AY38" i="24"/>
  <c r="AW38" i="24"/>
  <c r="AU38" i="24"/>
  <c r="AR38" i="24"/>
  <c r="AP38" i="24"/>
  <c r="AL38" i="24"/>
  <c r="AJ38" i="24"/>
  <c r="AH38" i="24"/>
  <c r="AF38" i="24"/>
  <c r="AD38" i="24"/>
  <c r="AB38" i="24"/>
  <c r="Y38" i="24"/>
  <c r="W38" i="24"/>
  <c r="U38" i="24"/>
  <c r="S38" i="24"/>
  <c r="Q38" i="24"/>
  <c r="O38" i="24"/>
  <c r="M38" i="24"/>
  <c r="K38" i="24"/>
  <c r="I38" i="24"/>
  <c r="G38" i="24"/>
  <c r="E38" i="24"/>
  <c r="AY37" i="24"/>
  <c r="AW37" i="24"/>
  <c r="AU37" i="24"/>
  <c r="AR37" i="24"/>
  <c r="AP37" i="24"/>
  <c r="AL37" i="24"/>
  <c r="AJ37" i="24"/>
  <c r="AH37" i="24"/>
  <c r="AF37" i="24"/>
  <c r="AD37" i="24"/>
  <c r="AB37" i="24"/>
  <c r="Y37" i="24"/>
  <c r="W37" i="24"/>
  <c r="U37" i="24"/>
  <c r="S37" i="24"/>
  <c r="Q37" i="24"/>
  <c r="O37" i="24"/>
  <c r="M37" i="24"/>
  <c r="K37" i="24"/>
  <c r="I37" i="24"/>
  <c r="G37" i="24"/>
  <c r="E37" i="24"/>
  <c r="AY36" i="24"/>
  <c r="AW36" i="24"/>
  <c r="AU36" i="24"/>
  <c r="AR36" i="24"/>
  <c r="AP36" i="24"/>
  <c r="AL36" i="24"/>
  <c r="AJ36" i="24"/>
  <c r="AH36" i="24"/>
  <c r="AF36" i="24"/>
  <c r="AD36" i="24"/>
  <c r="AB36" i="24"/>
  <c r="Y36" i="24"/>
  <c r="W36" i="24"/>
  <c r="U36" i="24"/>
  <c r="S36" i="24"/>
  <c r="Q36" i="24"/>
  <c r="O36" i="24"/>
  <c r="M36" i="24"/>
  <c r="K36" i="24"/>
  <c r="I36" i="24"/>
  <c r="G36" i="24"/>
  <c r="E36" i="24"/>
  <c r="AY35" i="24"/>
  <c r="AW35" i="24"/>
  <c r="AU35" i="24"/>
  <c r="AR35" i="24"/>
  <c r="AP35" i="24"/>
  <c r="AL35" i="24"/>
  <c r="AJ35" i="24"/>
  <c r="AH35" i="24"/>
  <c r="AF35" i="24"/>
  <c r="AD35" i="24"/>
  <c r="AB35" i="24"/>
  <c r="Y35" i="24"/>
  <c r="W35" i="24"/>
  <c r="U35" i="24"/>
  <c r="S35" i="24"/>
  <c r="Q35" i="24"/>
  <c r="O35" i="24"/>
  <c r="M35" i="24"/>
  <c r="K35" i="24"/>
  <c r="I35" i="24"/>
  <c r="G35" i="24"/>
  <c r="E35" i="24"/>
  <c r="AY34" i="24"/>
  <c r="AW34" i="24"/>
  <c r="AU34" i="24"/>
  <c r="AR34" i="24"/>
  <c r="AP34" i="24"/>
  <c r="AL34" i="24"/>
  <c r="AJ34" i="24"/>
  <c r="AH34" i="24"/>
  <c r="AF34" i="24"/>
  <c r="AD34" i="24"/>
  <c r="AB34" i="24"/>
  <c r="Y34" i="24"/>
  <c r="W34" i="24"/>
  <c r="U34" i="24"/>
  <c r="S34" i="24"/>
  <c r="Q34" i="24"/>
  <c r="O34" i="24"/>
  <c r="M34" i="24"/>
  <c r="K34" i="24"/>
  <c r="I34" i="24"/>
  <c r="G34" i="24"/>
  <c r="E34" i="24"/>
  <c r="AY33" i="24"/>
  <c r="AW33" i="24"/>
  <c r="AU33" i="24"/>
  <c r="AR33" i="24"/>
  <c r="AP33" i="24"/>
  <c r="AL33" i="24"/>
  <c r="AJ33" i="24"/>
  <c r="AH33" i="24"/>
  <c r="AF33" i="24"/>
  <c r="AD33" i="24"/>
  <c r="AB33" i="24"/>
  <c r="Y33" i="24"/>
  <c r="W33" i="24"/>
  <c r="U33" i="24"/>
  <c r="S33" i="24"/>
  <c r="Q33" i="24"/>
  <c r="O33" i="24"/>
  <c r="M33" i="24"/>
  <c r="K33" i="24"/>
  <c r="I33" i="24"/>
  <c r="G33" i="24"/>
  <c r="E33" i="24"/>
  <c r="AY32" i="24"/>
  <c r="AW32" i="24"/>
  <c r="AU32" i="24"/>
  <c r="AR32" i="24"/>
  <c r="AP32" i="24"/>
  <c r="AL32" i="24"/>
  <c r="AJ32" i="24"/>
  <c r="AH32" i="24"/>
  <c r="AF32" i="24"/>
  <c r="AD32" i="24"/>
  <c r="AB32" i="24"/>
  <c r="Y32" i="24"/>
  <c r="W32" i="24"/>
  <c r="U32" i="24"/>
  <c r="S32" i="24"/>
  <c r="Q32" i="24"/>
  <c r="O32" i="24"/>
  <c r="M32" i="24"/>
  <c r="K32" i="24"/>
  <c r="I32" i="24"/>
  <c r="G32" i="24"/>
  <c r="E32" i="24"/>
  <c r="AY31" i="24"/>
  <c r="AW31" i="24"/>
  <c r="AU31" i="24"/>
  <c r="AR31" i="24"/>
  <c r="AP31" i="24"/>
  <c r="AL31" i="24"/>
  <c r="AJ31" i="24"/>
  <c r="AH31" i="24"/>
  <c r="AF31" i="24"/>
  <c r="AD31" i="24"/>
  <c r="AB31" i="24"/>
  <c r="Y31" i="24"/>
  <c r="W31" i="24"/>
  <c r="U31" i="24"/>
  <c r="S31" i="24"/>
  <c r="Q31" i="24"/>
  <c r="O31" i="24"/>
  <c r="M31" i="24"/>
  <c r="K31" i="24"/>
  <c r="I31" i="24"/>
  <c r="G31" i="24"/>
  <c r="E31" i="24"/>
  <c r="AY30" i="24"/>
  <c r="AW30" i="24"/>
  <c r="AU30" i="24"/>
  <c r="AR30" i="24"/>
  <c r="AP30" i="24"/>
  <c r="AL30" i="24"/>
  <c r="AJ30" i="24"/>
  <c r="AH30" i="24"/>
  <c r="AF30" i="24"/>
  <c r="AD30" i="24"/>
  <c r="AB30" i="24"/>
  <c r="Y30" i="24"/>
  <c r="W30" i="24"/>
  <c r="U30" i="24"/>
  <c r="S30" i="24"/>
  <c r="Q30" i="24"/>
  <c r="O30" i="24"/>
  <c r="M30" i="24"/>
  <c r="K30" i="24"/>
  <c r="I30" i="24"/>
  <c r="G30" i="24"/>
  <c r="E30" i="24"/>
  <c r="AY29" i="24"/>
  <c r="AW29" i="24"/>
  <c r="AU29" i="24"/>
  <c r="AR29" i="24"/>
  <c r="AP29" i="24"/>
  <c r="AL29" i="24"/>
  <c r="AJ29" i="24"/>
  <c r="AH29" i="24"/>
  <c r="AF29" i="24"/>
  <c r="AD29" i="24"/>
  <c r="AB29" i="24"/>
  <c r="Y29" i="24"/>
  <c r="W29" i="24"/>
  <c r="U29" i="24"/>
  <c r="S29" i="24"/>
  <c r="Q29" i="24"/>
  <c r="O29" i="24"/>
  <c r="M29" i="24"/>
  <c r="K29" i="24"/>
  <c r="I29" i="24"/>
  <c r="G29" i="24"/>
  <c r="E29" i="24"/>
  <c r="AY28" i="24"/>
  <c r="AW28" i="24"/>
  <c r="AU28" i="24"/>
  <c r="AR28" i="24"/>
  <c r="AP28" i="24"/>
  <c r="AL28" i="24"/>
  <c r="AJ28" i="24"/>
  <c r="AH28" i="24"/>
  <c r="AF28" i="24"/>
  <c r="AD28" i="24"/>
  <c r="AB28" i="24"/>
  <c r="Y28" i="24"/>
  <c r="W28" i="24"/>
  <c r="U28" i="24"/>
  <c r="S28" i="24"/>
  <c r="Q28" i="24"/>
  <c r="O28" i="24"/>
  <c r="M28" i="24"/>
  <c r="K28" i="24"/>
  <c r="I28" i="24"/>
  <c r="G28" i="24"/>
  <c r="E28" i="24"/>
  <c r="AY27" i="24"/>
  <c r="AW27" i="24"/>
  <c r="AU27" i="24"/>
  <c r="AR27" i="24"/>
  <c r="AP27" i="24"/>
  <c r="AL27" i="24"/>
  <c r="AJ27" i="24"/>
  <c r="AH27" i="24"/>
  <c r="AF27" i="24"/>
  <c r="AD27" i="24"/>
  <c r="AB27" i="24"/>
  <c r="Y27" i="24"/>
  <c r="W27" i="24"/>
  <c r="U27" i="24"/>
  <c r="S27" i="24"/>
  <c r="Q27" i="24"/>
  <c r="O27" i="24"/>
  <c r="M27" i="24"/>
  <c r="K27" i="24"/>
  <c r="I27" i="24"/>
  <c r="G27" i="24"/>
  <c r="E27" i="24"/>
  <c r="AY26" i="24"/>
  <c r="AW26" i="24"/>
  <c r="AU26" i="24"/>
  <c r="AR26" i="24"/>
  <c r="AP26" i="24"/>
  <c r="AL26" i="24"/>
  <c r="AJ26" i="24"/>
  <c r="AH26" i="24"/>
  <c r="AF26" i="24"/>
  <c r="AD26" i="24"/>
  <c r="AB26" i="24"/>
  <c r="Y26" i="24"/>
  <c r="W26" i="24"/>
  <c r="U26" i="24"/>
  <c r="S26" i="24"/>
  <c r="Q26" i="24"/>
  <c r="O26" i="24"/>
  <c r="M26" i="24"/>
  <c r="K26" i="24"/>
  <c r="I26" i="24"/>
  <c r="G26" i="24"/>
  <c r="E26" i="24"/>
  <c r="AY25" i="24"/>
  <c r="AW25" i="24"/>
  <c r="AU25" i="24"/>
  <c r="AR25" i="24"/>
  <c r="AP25" i="24"/>
  <c r="AL25" i="24"/>
  <c r="AJ25" i="24"/>
  <c r="AH25" i="24"/>
  <c r="AF25" i="24"/>
  <c r="AD25" i="24"/>
  <c r="AB25" i="24"/>
  <c r="Y25" i="24"/>
  <c r="W25" i="24"/>
  <c r="U25" i="24"/>
  <c r="S25" i="24"/>
  <c r="Q25" i="24"/>
  <c r="O25" i="24"/>
  <c r="M25" i="24"/>
  <c r="K25" i="24"/>
  <c r="I25" i="24"/>
  <c r="G25" i="24"/>
  <c r="E25" i="24"/>
  <c r="AY24" i="24"/>
  <c r="AW24" i="24"/>
  <c r="AU24" i="24"/>
  <c r="AR24" i="24"/>
  <c r="AP24" i="24"/>
  <c r="AL24" i="24"/>
  <c r="AJ24" i="24"/>
  <c r="AH24" i="24"/>
  <c r="AF24" i="24"/>
  <c r="AD24" i="24"/>
  <c r="AB24" i="24"/>
  <c r="Y24" i="24"/>
  <c r="W24" i="24"/>
  <c r="U24" i="24"/>
  <c r="S24" i="24"/>
  <c r="Q24" i="24"/>
  <c r="O24" i="24"/>
  <c r="M24" i="24"/>
  <c r="K24" i="24"/>
  <c r="I24" i="24"/>
  <c r="G24" i="24"/>
  <c r="E24" i="24"/>
  <c r="AY23" i="24"/>
  <c r="AW23" i="24"/>
  <c r="AU23" i="24"/>
  <c r="AR23" i="24"/>
  <c r="AP23" i="24"/>
  <c r="AL23" i="24"/>
  <c r="AJ23" i="24"/>
  <c r="AH23" i="24"/>
  <c r="AF23" i="24"/>
  <c r="AD23" i="24"/>
  <c r="AB23" i="24"/>
  <c r="Y23" i="24"/>
  <c r="W23" i="24"/>
  <c r="U23" i="24"/>
  <c r="S23" i="24"/>
  <c r="Q23" i="24"/>
  <c r="O23" i="24"/>
  <c r="M23" i="24"/>
  <c r="K23" i="24"/>
  <c r="I23" i="24"/>
  <c r="G23" i="24"/>
  <c r="E23" i="24"/>
  <c r="AY22" i="24"/>
  <c r="AW22" i="24"/>
  <c r="AU22" i="24"/>
  <c r="AR22" i="24"/>
  <c r="AP22" i="24"/>
  <c r="AL22" i="24"/>
  <c r="AJ22" i="24"/>
  <c r="AH22" i="24"/>
  <c r="AF22" i="24"/>
  <c r="AD22" i="24"/>
  <c r="AB22" i="24"/>
  <c r="Y22" i="24"/>
  <c r="W22" i="24"/>
  <c r="U22" i="24"/>
  <c r="S22" i="24"/>
  <c r="Q22" i="24"/>
  <c r="O22" i="24"/>
  <c r="M22" i="24"/>
  <c r="K22" i="24"/>
  <c r="I22" i="24"/>
  <c r="G22" i="24"/>
  <c r="E22" i="24"/>
  <c r="AY21" i="24"/>
  <c r="AW21" i="24"/>
  <c r="AU21" i="24"/>
  <c r="AR21" i="24"/>
  <c r="AP21" i="24"/>
  <c r="AL21" i="24"/>
  <c r="AJ21" i="24"/>
  <c r="AH21" i="24"/>
  <c r="AF21" i="24"/>
  <c r="AD21" i="24"/>
  <c r="AB21" i="24"/>
  <c r="Y21" i="24"/>
  <c r="W21" i="24"/>
  <c r="U21" i="24"/>
  <c r="S21" i="24"/>
  <c r="Q21" i="24"/>
  <c r="O21" i="24"/>
  <c r="M21" i="24"/>
  <c r="K21" i="24"/>
  <c r="I21" i="24"/>
  <c r="G21" i="24"/>
  <c r="E21" i="24"/>
  <c r="AY20" i="24"/>
  <c r="AW20" i="24"/>
  <c r="AU20" i="24"/>
  <c r="AR20" i="24"/>
  <c r="AP20" i="24"/>
  <c r="AL20" i="24"/>
  <c r="AJ20" i="24"/>
  <c r="AH20" i="24"/>
  <c r="AF20" i="24"/>
  <c r="AD20" i="24"/>
  <c r="AB20" i="24"/>
  <c r="Y20" i="24"/>
  <c r="W20" i="24"/>
  <c r="U20" i="24"/>
  <c r="S20" i="24"/>
  <c r="Q20" i="24"/>
  <c r="O20" i="24"/>
  <c r="M20" i="24"/>
  <c r="K20" i="24"/>
  <c r="I20" i="24"/>
  <c r="G20" i="24"/>
  <c r="E20" i="24"/>
  <c r="AY19" i="24"/>
  <c r="AW19" i="24"/>
  <c r="AU19" i="24"/>
  <c r="AR19" i="24"/>
  <c r="AP19" i="24"/>
  <c r="AL19" i="24"/>
  <c r="AJ19" i="24"/>
  <c r="AH19" i="24"/>
  <c r="AF19" i="24"/>
  <c r="AD19" i="24"/>
  <c r="AB19" i="24"/>
  <c r="Y19" i="24"/>
  <c r="W19" i="24"/>
  <c r="U19" i="24"/>
  <c r="S19" i="24"/>
  <c r="Q19" i="24"/>
  <c r="O19" i="24"/>
  <c r="M19" i="24"/>
  <c r="K19" i="24"/>
  <c r="I19" i="24"/>
  <c r="G19" i="24"/>
  <c r="E19" i="24"/>
  <c r="AY18" i="24"/>
  <c r="AW18" i="24"/>
  <c r="AU18" i="24"/>
  <c r="AR18" i="24"/>
  <c r="AP18" i="24"/>
  <c r="AL18" i="24"/>
  <c r="AJ18" i="24"/>
  <c r="AH18" i="24"/>
  <c r="AF18" i="24"/>
  <c r="AD18" i="24"/>
  <c r="AB18" i="24"/>
  <c r="Y18" i="24"/>
  <c r="W18" i="24"/>
  <c r="U18" i="24"/>
  <c r="S18" i="24"/>
  <c r="Q18" i="24"/>
  <c r="O18" i="24"/>
  <c r="M18" i="24"/>
  <c r="K18" i="24"/>
  <c r="I18" i="24"/>
  <c r="G18" i="24"/>
  <c r="E18" i="24"/>
  <c r="AY17" i="24"/>
  <c r="AW17" i="24"/>
  <c r="AU17" i="24"/>
  <c r="AR17" i="24"/>
  <c r="AP17" i="24"/>
  <c r="AL17" i="24"/>
  <c r="AJ17" i="24"/>
  <c r="AH17" i="24"/>
  <c r="AF17" i="24"/>
  <c r="AD17" i="24"/>
  <c r="AB17" i="24"/>
  <c r="Y17" i="24"/>
  <c r="W17" i="24"/>
  <c r="U17" i="24"/>
  <c r="S17" i="24"/>
  <c r="Q17" i="24"/>
  <c r="O17" i="24"/>
  <c r="M17" i="24"/>
  <c r="K17" i="24"/>
  <c r="I17" i="24"/>
  <c r="G17" i="24"/>
  <c r="E17" i="24"/>
  <c r="AY16" i="24"/>
  <c r="AW16" i="24"/>
  <c r="AU16" i="24"/>
  <c r="AR16" i="24"/>
  <c r="AP16" i="24"/>
  <c r="AL16" i="24"/>
  <c r="AJ16" i="24"/>
  <c r="AH16" i="24"/>
  <c r="AF16" i="24"/>
  <c r="AD16" i="24"/>
  <c r="AB16" i="24"/>
  <c r="Y16" i="24"/>
  <c r="W16" i="24"/>
  <c r="U16" i="24"/>
  <c r="S16" i="24"/>
  <c r="Q16" i="24"/>
  <c r="O16" i="24"/>
  <c r="M16" i="24"/>
  <c r="K16" i="24"/>
  <c r="I16" i="24"/>
  <c r="G16" i="24"/>
  <c r="E16" i="24"/>
  <c r="AY15" i="24"/>
  <c r="AW15" i="24"/>
  <c r="AU15" i="24"/>
  <c r="AR15" i="24"/>
  <c r="AP15" i="24"/>
  <c r="AL15" i="24"/>
  <c r="AJ15" i="24"/>
  <c r="AH15" i="24"/>
  <c r="AF15" i="24"/>
  <c r="AD15" i="24"/>
  <c r="AB15" i="24"/>
  <c r="Y15" i="24"/>
  <c r="W15" i="24"/>
  <c r="U15" i="24"/>
  <c r="S15" i="24"/>
  <c r="Q15" i="24"/>
  <c r="O15" i="24"/>
  <c r="M15" i="24"/>
  <c r="K15" i="24"/>
  <c r="I15" i="24"/>
  <c r="G15" i="24"/>
  <c r="E15" i="24"/>
  <c r="AY14" i="24"/>
  <c r="AW14" i="24"/>
  <c r="AU14" i="24"/>
  <c r="AR14" i="24"/>
  <c r="AP14" i="24"/>
  <c r="AL14" i="24"/>
  <c r="AJ14" i="24"/>
  <c r="AH14" i="24"/>
  <c r="AF14" i="24"/>
  <c r="AD14" i="24"/>
  <c r="AB14" i="24"/>
  <c r="Y14" i="24"/>
  <c r="W14" i="24"/>
  <c r="U14" i="24"/>
  <c r="S14" i="24"/>
  <c r="Q14" i="24"/>
  <c r="O14" i="24"/>
  <c r="M14" i="24"/>
  <c r="K14" i="24"/>
  <c r="I14" i="24"/>
  <c r="G14" i="24"/>
  <c r="E14" i="24"/>
  <c r="AY13" i="24"/>
  <c r="AW13" i="24"/>
  <c r="AU13" i="24"/>
  <c r="AR13" i="24"/>
  <c r="AP13" i="24"/>
  <c r="AL13" i="24"/>
  <c r="AJ13" i="24"/>
  <c r="AH13" i="24"/>
  <c r="AF13" i="24"/>
  <c r="AD13" i="24"/>
  <c r="AB13" i="24"/>
  <c r="Y13" i="24"/>
  <c r="W13" i="24"/>
  <c r="U13" i="24"/>
  <c r="S13" i="24"/>
  <c r="Q13" i="24"/>
  <c r="O13" i="24"/>
  <c r="M13" i="24"/>
  <c r="K13" i="24"/>
  <c r="I13" i="24"/>
  <c r="G13" i="24"/>
  <c r="E13" i="24"/>
  <c r="AY12" i="24"/>
  <c r="AW12" i="24"/>
  <c r="AU12" i="24"/>
  <c r="AR12" i="24"/>
  <c r="AP12" i="24"/>
  <c r="AL12" i="24"/>
  <c r="AJ12" i="24"/>
  <c r="AH12" i="24"/>
  <c r="AF12" i="24"/>
  <c r="AD12" i="24"/>
  <c r="AB12" i="24"/>
  <c r="Y12" i="24"/>
  <c r="W12" i="24"/>
  <c r="U12" i="24"/>
  <c r="S12" i="24"/>
  <c r="Q12" i="24"/>
  <c r="O12" i="24"/>
  <c r="M12" i="24"/>
  <c r="K12" i="24"/>
  <c r="I12" i="24"/>
  <c r="G12" i="24"/>
  <c r="E12" i="24"/>
  <c r="AY11" i="24"/>
  <c r="AW11" i="24"/>
  <c r="AU11" i="24"/>
  <c r="AR11" i="24"/>
  <c r="AP11" i="24"/>
  <c r="AL11" i="24"/>
  <c r="AJ11" i="24"/>
  <c r="AH11" i="24"/>
  <c r="AF11" i="24"/>
  <c r="AD11" i="24"/>
  <c r="AB11" i="24"/>
  <c r="Y11" i="24"/>
  <c r="W11" i="24"/>
  <c r="U11" i="24"/>
  <c r="S11" i="24"/>
  <c r="Q11" i="24"/>
  <c r="O11" i="24"/>
  <c r="M11" i="24"/>
  <c r="K11" i="24"/>
  <c r="I11" i="24"/>
  <c r="G11" i="24"/>
  <c r="E11" i="24"/>
  <c r="AX46" i="24"/>
  <c r="AY46" i="24" s="1"/>
  <c r="AY47" i="24" s="1"/>
  <c r="AV46" i="24"/>
  <c r="AT46" i="24"/>
  <c r="AQ46" i="24"/>
  <c r="AO46" i="24"/>
  <c r="AP46" i="24" s="1"/>
  <c r="AP47" i="24" s="1"/>
  <c r="AM46" i="24"/>
  <c r="AK46" i="24"/>
  <c r="AL46" i="24" s="1"/>
  <c r="AI46" i="24"/>
  <c r="AG46" i="24"/>
  <c r="AE46" i="24"/>
  <c r="AC46" i="24"/>
  <c r="AA46" i="24"/>
  <c r="Y10" i="24"/>
  <c r="W10" i="24"/>
  <c r="U10" i="24"/>
  <c r="R46" i="24"/>
  <c r="Q10" i="24"/>
  <c r="O10" i="24"/>
  <c r="M10" i="24"/>
  <c r="J46" i="24"/>
  <c r="I10" i="24"/>
  <c r="G10" i="24"/>
  <c r="E10" i="24"/>
  <c r="AD10" i="24"/>
  <c r="AH10" i="24"/>
  <c r="AL10" i="24"/>
  <c r="AP10" i="24"/>
  <c r="AU10" i="24"/>
  <c r="AY10" i="24"/>
  <c r="H46" i="24"/>
  <c r="P46" i="24"/>
  <c r="F46" i="24"/>
  <c r="N46" i="24"/>
  <c r="V46" i="24"/>
  <c r="D46" i="24"/>
  <c r="E46" i="24" s="1"/>
  <c r="G56" i="24" s="1"/>
  <c r="L46" i="24"/>
  <c r="T46" i="24"/>
  <c r="X46" i="24"/>
  <c r="K10" i="24"/>
  <c r="S10" i="24"/>
  <c r="AB10" i="24"/>
  <c r="AF10" i="24"/>
  <c r="AJ10" i="24"/>
  <c r="AN46" i="24"/>
  <c r="AR10" i="24"/>
  <c r="AW10" i="24"/>
  <c r="E10" i="23"/>
  <c r="G10" i="23"/>
  <c r="I10" i="23"/>
  <c r="K10" i="23"/>
  <c r="M10" i="23"/>
  <c r="O10" i="23"/>
  <c r="Q10" i="23"/>
  <c r="S10" i="23"/>
  <c r="U10" i="23"/>
  <c r="W10" i="23"/>
  <c r="Z10" i="23"/>
  <c r="AB10" i="23"/>
  <c r="AD10" i="23"/>
  <c r="AF10" i="23"/>
  <c r="AH10" i="23"/>
  <c r="AJ10" i="23"/>
  <c r="AN10" i="23"/>
  <c r="AP10" i="23"/>
  <c r="AR10" i="23"/>
  <c r="AT10" i="23"/>
  <c r="AV10" i="23"/>
  <c r="AX10" i="23"/>
  <c r="E11" i="23"/>
  <c r="G11" i="23"/>
  <c r="I11" i="23"/>
  <c r="K11" i="23"/>
  <c r="M11" i="23"/>
  <c r="O11" i="23"/>
  <c r="Q11" i="23"/>
  <c r="S11" i="23"/>
  <c r="U11" i="23"/>
  <c r="W11" i="23"/>
  <c r="Z11" i="23"/>
  <c r="AB11" i="23"/>
  <c r="AD11" i="23"/>
  <c r="AF11" i="23"/>
  <c r="AH11" i="23"/>
  <c r="AJ11" i="23"/>
  <c r="AN11" i="23"/>
  <c r="AP11" i="23"/>
  <c r="AR11" i="23"/>
  <c r="AT11" i="23"/>
  <c r="AV11" i="23"/>
  <c r="AX11" i="23"/>
  <c r="E12" i="23"/>
  <c r="G12" i="23"/>
  <c r="I12" i="23"/>
  <c r="K12" i="23"/>
  <c r="M12" i="23"/>
  <c r="O12" i="23"/>
  <c r="Q12" i="23"/>
  <c r="S12" i="23"/>
  <c r="U12" i="23"/>
  <c r="W12" i="23"/>
  <c r="Z12" i="23"/>
  <c r="AB12" i="23"/>
  <c r="AD12" i="23"/>
  <c r="AF12" i="23"/>
  <c r="AH12" i="23"/>
  <c r="AJ12" i="23"/>
  <c r="AN12" i="23"/>
  <c r="AP12" i="23"/>
  <c r="AR12" i="23"/>
  <c r="AT12" i="23"/>
  <c r="AV12" i="23"/>
  <c r="AX12" i="23"/>
  <c r="E13" i="23"/>
  <c r="G13" i="23"/>
  <c r="I13" i="23"/>
  <c r="K13" i="23"/>
  <c r="M13" i="23"/>
  <c r="O13" i="23"/>
  <c r="Q13" i="23"/>
  <c r="S13" i="23"/>
  <c r="U13" i="23"/>
  <c r="W13" i="23"/>
  <c r="Z13" i="23"/>
  <c r="AB13" i="23"/>
  <c r="AD13" i="23"/>
  <c r="AF13" i="23"/>
  <c r="AH13" i="23"/>
  <c r="AJ13" i="23"/>
  <c r="AN13" i="23"/>
  <c r="AP13" i="23"/>
  <c r="AR13" i="23"/>
  <c r="AT13" i="23"/>
  <c r="AV13" i="23"/>
  <c r="AX13" i="23"/>
  <c r="E14" i="23"/>
  <c r="G14" i="23"/>
  <c r="I14" i="23"/>
  <c r="K14" i="23"/>
  <c r="M14" i="23"/>
  <c r="O14" i="23"/>
  <c r="Q14" i="23"/>
  <c r="S14" i="23"/>
  <c r="U14" i="23"/>
  <c r="W14" i="23"/>
  <c r="Z14" i="23"/>
  <c r="AB14" i="23"/>
  <c r="AD14" i="23"/>
  <c r="AF14" i="23"/>
  <c r="AH14" i="23"/>
  <c r="AJ14" i="23"/>
  <c r="AN14" i="23"/>
  <c r="AP14" i="23"/>
  <c r="AR14" i="23"/>
  <c r="AT14" i="23"/>
  <c r="AV14" i="23"/>
  <c r="AX14" i="23"/>
  <c r="E15" i="23"/>
  <c r="G15" i="23"/>
  <c r="I15" i="23"/>
  <c r="K15" i="23"/>
  <c r="M15" i="23"/>
  <c r="O15" i="23"/>
  <c r="Q15" i="23"/>
  <c r="S15" i="23"/>
  <c r="U15" i="23"/>
  <c r="W15" i="23"/>
  <c r="Z15" i="23"/>
  <c r="AB15" i="23"/>
  <c r="AD15" i="23"/>
  <c r="AF15" i="23"/>
  <c r="AH15" i="23"/>
  <c r="AJ15" i="23"/>
  <c r="AN15" i="23"/>
  <c r="AP15" i="23"/>
  <c r="AR15" i="23"/>
  <c r="AT15" i="23"/>
  <c r="AV15" i="23"/>
  <c r="AX15" i="23"/>
  <c r="E16" i="23"/>
  <c r="G16" i="23"/>
  <c r="I16" i="23"/>
  <c r="K16" i="23"/>
  <c r="M16" i="23"/>
  <c r="O16" i="23"/>
  <c r="Q16" i="23"/>
  <c r="S16" i="23"/>
  <c r="U16" i="23"/>
  <c r="W16" i="23"/>
  <c r="Z16" i="23"/>
  <c r="AB16" i="23"/>
  <c r="AD16" i="23"/>
  <c r="AF16" i="23"/>
  <c r="AH16" i="23"/>
  <c r="AJ16" i="23"/>
  <c r="AN16" i="23"/>
  <c r="AP16" i="23"/>
  <c r="AR16" i="23"/>
  <c r="AT16" i="23"/>
  <c r="AV16" i="23"/>
  <c r="AX16" i="23"/>
  <c r="E17" i="23"/>
  <c r="G17" i="23"/>
  <c r="I17" i="23"/>
  <c r="K17" i="23"/>
  <c r="M17" i="23"/>
  <c r="O17" i="23"/>
  <c r="Q17" i="23"/>
  <c r="S17" i="23"/>
  <c r="U17" i="23"/>
  <c r="W17" i="23"/>
  <c r="Z17" i="23"/>
  <c r="AB17" i="23"/>
  <c r="AD17" i="23"/>
  <c r="AF17" i="23"/>
  <c r="AH17" i="23"/>
  <c r="AJ17" i="23"/>
  <c r="AN17" i="23"/>
  <c r="AP17" i="23"/>
  <c r="AR17" i="23"/>
  <c r="AT17" i="23"/>
  <c r="AV17" i="23"/>
  <c r="AX17" i="23"/>
  <c r="E18" i="23"/>
  <c r="G18" i="23"/>
  <c r="I18" i="23"/>
  <c r="K18" i="23"/>
  <c r="M18" i="23"/>
  <c r="O18" i="23"/>
  <c r="Q18" i="23"/>
  <c r="S18" i="23"/>
  <c r="U18" i="23"/>
  <c r="W18" i="23"/>
  <c r="Z18" i="23"/>
  <c r="AB18" i="23"/>
  <c r="AD18" i="23"/>
  <c r="AF18" i="23"/>
  <c r="AH18" i="23"/>
  <c r="AJ18" i="23"/>
  <c r="AN18" i="23"/>
  <c r="AP18" i="23"/>
  <c r="AR18" i="23"/>
  <c r="AT18" i="23"/>
  <c r="AV18" i="23"/>
  <c r="AX18" i="23"/>
  <c r="E19" i="23"/>
  <c r="G19" i="23"/>
  <c r="I19" i="23"/>
  <c r="K19" i="23"/>
  <c r="M19" i="23"/>
  <c r="O19" i="23"/>
  <c r="Q19" i="23"/>
  <c r="S19" i="23"/>
  <c r="U19" i="23"/>
  <c r="W19" i="23"/>
  <c r="Z19" i="23"/>
  <c r="AB19" i="23"/>
  <c r="AD19" i="23"/>
  <c r="AF19" i="23"/>
  <c r="AH19" i="23"/>
  <c r="AJ19" i="23"/>
  <c r="AN19" i="23"/>
  <c r="AP19" i="23"/>
  <c r="AR19" i="23"/>
  <c r="AT19" i="23"/>
  <c r="AV19" i="23"/>
  <c r="AX19" i="23"/>
  <c r="E20" i="23"/>
  <c r="G20" i="23"/>
  <c r="I20" i="23"/>
  <c r="K20" i="23"/>
  <c r="M20" i="23"/>
  <c r="O20" i="23"/>
  <c r="Q20" i="23"/>
  <c r="S20" i="23"/>
  <c r="U20" i="23"/>
  <c r="W20" i="23"/>
  <c r="Z20" i="23"/>
  <c r="AB20" i="23"/>
  <c r="AD20" i="23"/>
  <c r="AF20" i="23"/>
  <c r="AH20" i="23"/>
  <c r="AJ20" i="23"/>
  <c r="AN20" i="23"/>
  <c r="AP20" i="23"/>
  <c r="AR20" i="23"/>
  <c r="AT20" i="23"/>
  <c r="AV20" i="23"/>
  <c r="AX20" i="23"/>
  <c r="E21" i="23"/>
  <c r="G21" i="23"/>
  <c r="I21" i="23"/>
  <c r="K21" i="23"/>
  <c r="M21" i="23"/>
  <c r="O21" i="23"/>
  <c r="Q21" i="23"/>
  <c r="S21" i="23"/>
  <c r="U21" i="23"/>
  <c r="W21" i="23"/>
  <c r="Z21" i="23"/>
  <c r="AB21" i="23"/>
  <c r="AD21" i="23"/>
  <c r="AF21" i="23"/>
  <c r="AH21" i="23"/>
  <c r="AJ21" i="23"/>
  <c r="AN21" i="23"/>
  <c r="AP21" i="23"/>
  <c r="AR21" i="23"/>
  <c r="AT21" i="23"/>
  <c r="AV21" i="23"/>
  <c r="AX21" i="23"/>
  <c r="E22" i="23"/>
  <c r="G22" i="23"/>
  <c r="I22" i="23"/>
  <c r="K22" i="23"/>
  <c r="M22" i="23"/>
  <c r="O22" i="23"/>
  <c r="Q22" i="23"/>
  <c r="S22" i="23"/>
  <c r="U22" i="23"/>
  <c r="W22" i="23"/>
  <c r="Z22" i="23"/>
  <c r="AB22" i="23"/>
  <c r="AD22" i="23"/>
  <c r="AF22" i="23"/>
  <c r="AH22" i="23"/>
  <c r="AJ22" i="23"/>
  <c r="AN22" i="23"/>
  <c r="AP22" i="23"/>
  <c r="AR22" i="23"/>
  <c r="AT22" i="23"/>
  <c r="AV22" i="23"/>
  <c r="AX22" i="23"/>
  <c r="E23" i="23"/>
  <c r="G23" i="23"/>
  <c r="I23" i="23"/>
  <c r="K23" i="23"/>
  <c r="M23" i="23"/>
  <c r="O23" i="23"/>
  <c r="Q23" i="23"/>
  <c r="S23" i="23"/>
  <c r="U23" i="23"/>
  <c r="W23" i="23"/>
  <c r="Z23" i="23"/>
  <c r="AB23" i="23"/>
  <c r="AD23" i="23"/>
  <c r="AF23" i="23"/>
  <c r="AH23" i="23"/>
  <c r="AJ23" i="23"/>
  <c r="AN23" i="23"/>
  <c r="AP23" i="23"/>
  <c r="AR23" i="23"/>
  <c r="AT23" i="23"/>
  <c r="AV23" i="23"/>
  <c r="AX23" i="23"/>
  <c r="E24" i="23"/>
  <c r="G24" i="23"/>
  <c r="I24" i="23"/>
  <c r="K24" i="23"/>
  <c r="M24" i="23"/>
  <c r="O24" i="23"/>
  <c r="Q24" i="23"/>
  <c r="S24" i="23"/>
  <c r="U24" i="23"/>
  <c r="W24" i="23"/>
  <c r="Z24" i="23"/>
  <c r="AB24" i="23"/>
  <c r="AD24" i="23"/>
  <c r="AF24" i="23"/>
  <c r="AH24" i="23"/>
  <c r="AJ24" i="23"/>
  <c r="AN24" i="23"/>
  <c r="AP24" i="23"/>
  <c r="AR24" i="23"/>
  <c r="AT24" i="23"/>
  <c r="AV24" i="23"/>
  <c r="AX24" i="23"/>
  <c r="E25" i="23"/>
  <c r="G25" i="23"/>
  <c r="I25" i="23"/>
  <c r="K25" i="23"/>
  <c r="M25" i="23"/>
  <c r="O25" i="23"/>
  <c r="Q25" i="23"/>
  <c r="S25" i="23"/>
  <c r="U25" i="23"/>
  <c r="W25" i="23"/>
  <c r="Z25" i="23"/>
  <c r="AB25" i="23"/>
  <c r="AD25" i="23"/>
  <c r="AF25" i="23"/>
  <c r="AH25" i="23"/>
  <c r="AJ25" i="23"/>
  <c r="AN25" i="23"/>
  <c r="AP25" i="23"/>
  <c r="AR25" i="23"/>
  <c r="AT25" i="23"/>
  <c r="AV25" i="23"/>
  <c r="AX25" i="23"/>
  <c r="E26" i="23"/>
  <c r="G26" i="23"/>
  <c r="I26" i="23"/>
  <c r="K26" i="23"/>
  <c r="M26" i="23"/>
  <c r="O26" i="23"/>
  <c r="Q26" i="23"/>
  <c r="S26" i="23"/>
  <c r="U26" i="23"/>
  <c r="W26" i="23"/>
  <c r="Z26" i="23"/>
  <c r="AB26" i="23"/>
  <c r="AD26" i="23"/>
  <c r="AF26" i="23"/>
  <c r="AH26" i="23"/>
  <c r="AJ26" i="23"/>
  <c r="AN26" i="23"/>
  <c r="AP26" i="23"/>
  <c r="AR26" i="23"/>
  <c r="AT26" i="23"/>
  <c r="AV26" i="23"/>
  <c r="AX26" i="23"/>
  <c r="E27" i="23"/>
  <c r="G27" i="23"/>
  <c r="I27" i="23"/>
  <c r="K27" i="23"/>
  <c r="M27" i="23"/>
  <c r="O27" i="23"/>
  <c r="Q27" i="23"/>
  <c r="S27" i="23"/>
  <c r="U27" i="23"/>
  <c r="W27" i="23"/>
  <c r="Z27" i="23"/>
  <c r="AB27" i="23"/>
  <c r="AD27" i="23"/>
  <c r="AF27" i="23"/>
  <c r="AH27" i="23"/>
  <c r="AJ27" i="23"/>
  <c r="AN27" i="23"/>
  <c r="AP27" i="23"/>
  <c r="AR27" i="23"/>
  <c r="AT27" i="23"/>
  <c r="AV27" i="23"/>
  <c r="AX27" i="23"/>
  <c r="E28" i="23"/>
  <c r="G28" i="23"/>
  <c r="I28" i="23"/>
  <c r="K28" i="23"/>
  <c r="M28" i="23"/>
  <c r="O28" i="23"/>
  <c r="Q28" i="23"/>
  <c r="S28" i="23"/>
  <c r="U28" i="23"/>
  <c r="W28" i="23"/>
  <c r="Z28" i="23"/>
  <c r="AB28" i="23"/>
  <c r="AD28" i="23"/>
  <c r="AF28" i="23"/>
  <c r="AH28" i="23"/>
  <c r="AJ28" i="23"/>
  <c r="AN28" i="23"/>
  <c r="AP28" i="23"/>
  <c r="AR28" i="23"/>
  <c r="AT28" i="23"/>
  <c r="AV28" i="23"/>
  <c r="AX28" i="23"/>
  <c r="E29" i="23"/>
  <c r="G29" i="23"/>
  <c r="I29" i="23"/>
  <c r="K29" i="23"/>
  <c r="M29" i="23"/>
  <c r="O29" i="23"/>
  <c r="Q29" i="23"/>
  <c r="S29" i="23"/>
  <c r="U29" i="23"/>
  <c r="W29" i="23"/>
  <c r="Z29" i="23"/>
  <c r="AB29" i="23"/>
  <c r="AD29" i="23"/>
  <c r="AF29" i="23"/>
  <c r="AH29" i="23"/>
  <c r="AJ29" i="23"/>
  <c r="AN29" i="23"/>
  <c r="AP29" i="23"/>
  <c r="AR29" i="23"/>
  <c r="AT29" i="23"/>
  <c r="AV29" i="23"/>
  <c r="AX29" i="23"/>
  <c r="E30" i="23"/>
  <c r="G30" i="23"/>
  <c r="I30" i="23"/>
  <c r="K30" i="23"/>
  <c r="M30" i="23"/>
  <c r="O30" i="23"/>
  <c r="Q30" i="23"/>
  <c r="S30" i="23"/>
  <c r="U30" i="23"/>
  <c r="W30" i="23"/>
  <c r="Z30" i="23"/>
  <c r="AB30" i="23"/>
  <c r="AD30" i="23"/>
  <c r="AF30" i="23"/>
  <c r="AH30" i="23"/>
  <c r="AJ30" i="23"/>
  <c r="AN30" i="23"/>
  <c r="AP30" i="23"/>
  <c r="AR30" i="23"/>
  <c r="AT30" i="23"/>
  <c r="AV30" i="23"/>
  <c r="AX30" i="23"/>
  <c r="E31" i="23"/>
  <c r="G31" i="23"/>
  <c r="I31" i="23"/>
  <c r="K31" i="23"/>
  <c r="M31" i="23"/>
  <c r="O31" i="23"/>
  <c r="Q31" i="23"/>
  <c r="S31" i="23"/>
  <c r="U31" i="23"/>
  <c r="W31" i="23"/>
  <c r="Z31" i="23"/>
  <c r="AB31" i="23"/>
  <c r="AD31" i="23"/>
  <c r="AF31" i="23"/>
  <c r="AH31" i="23"/>
  <c r="AJ31" i="23"/>
  <c r="AN31" i="23"/>
  <c r="AP31" i="23"/>
  <c r="AR31" i="23"/>
  <c r="AT31" i="23"/>
  <c r="AV31" i="23"/>
  <c r="AX31" i="23"/>
  <c r="E32" i="23"/>
  <c r="G32" i="23"/>
  <c r="I32" i="23"/>
  <c r="K32" i="23"/>
  <c r="M32" i="23"/>
  <c r="O32" i="23"/>
  <c r="Q32" i="23"/>
  <c r="S32" i="23"/>
  <c r="U32" i="23"/>
  <c r="W32" i="23"/>
  <c r="Z32" i="23"/>
  <c r="AB32" i="23"/>
  <c r="AD32" i="23"/>
  <c r="AF32" i="23"/>
  <c r="AH32" i="23"/>
  <c r="AJ32" i="23"/>
  <c r="AN32" i="23"/>
  <c r="AP32" i="23"/>
  <c r="AR32" i="23"/>
  <c r="AT32" i="23"/>
  <c r="AV32" i="23"/>
  <c r="AX32" i="23"/>
  <c r="E33" i="23"/>
  <c r="G33" i="23"/>
  <c r="I33" i="23"/>
  <c r="K33" i="23"/>
  <c r="M33" i="23"/>
  <c r="O33" i="23"/>
  <c r="Q33" i="23"/>
  <c r="S33" i="23"/>
  <c r="U33" i="23"/>
  <c r="W33" i="23"/>
  <c r="Z33" i="23"/>
  <c r="AB33" i="23"/>
  <c r="AD33" i="23"/>
  <c r="AF33" i="23"/>
  <c r="AH33" i="23"/>
  <c r="AJ33" i="23"/>
  <c r="AN33" i="23"/>
  <c r="AP33" i="23"/>
  <c r="AR33" i="23"/>
  <c r="AT33" i="23"/>
  <c r="AV33" i="23"/>
  <c r="AX33" i="23"/>
  <c r="E34" i="23"/>
  <c r="G34" i="23"/>
  <c r="I34" i="23"/>
  <c r="K34" i="23"/>
  <c r="M34" i="23"/>
  <c r="O34" i="23"/>
  <c r="Q34" i="23"/>
  <c r="S34" i="23"/>
  <c r="U34" i="23"/>
  <c r="W34" i="23"/>
  <c r="Z34" i="23"/>
  <c r="AB34" i="23"/>
  <c r="AD34" i="23"/>
  <c r="AF34" i="23"/>
  <c r="AH34" i="23"/>
  <c r="AJ34" i="23"/>
  <c r="AN34" i="23"/>
  <c r="AP34" i="23"/>
  <c r="AR34" i="23"/>
  <c r="AT34" i="23"/>
  <c r="AV34" i="23"/>
  <c r="AX34" i="23"/>
  <c r="E35" i="23"/>
  <c r="G35" i="23"/>
  <c r="I35" i="23"/>
  <c r="K35" i="23"/>
  <c r="M35" i="23"/>
  <c r="O35" i="23"/>
  <c r="Q35" i="23"/>
  <c r="S35" i="23"/>
  <c r="U35" i="23"/>
  <c r="W35" i="23"/>
  <c r="Z35" i="23"/>
  <c r="AB35" i="23"/>
  <c r="AD35" i="23"/>
  <c r="AF35" i="23"/>
  <c r="AH35" i="23"/>
  <c r="AJ35" i="23"/>
  <c r="AN35" i="23"/>
  <c r="AP35" i="23"/>
  <c r="AR35" i="23"/>
  <c r="AT35" i="23"/>
  <c r="AV35" i="23"/>
  <c r="AX35" i="23"/>
  <c r="E36" i="23"/>
  <c r="G36" i="23"/>
  <c r="I36" i="23"/>
  <c r="K36" i="23"/>
  <c r="M36" i="23"/>
  <c r="O36" i="23"/>
  <c r="Q36" i="23"/>
  <c r="S36" i="23"/>
  <c r="U36" i="23"/>
  <c r="W36" i="23"/>
  <c r="Z36" i="23"/>
  <c r="AB36" i="23"/>
  <c r="AD36" i="23"/>
  <c r="AF36" i="23"/>
  <c r="AH36" i="23"/>
  <c r="AJ36" i="23"/>
  <c r="AN36" i="23"/>
  <c r="AP36" i="23"/>
  <c r="AR36" i="23"/>
  <c r="AT36" i="23"/>
  <c r="AV36" i="23"/>
  <c r="AX36" i="23"/>
  <c r="E37" i="23"/>
  <c r="G37" i="23"/>
  <c r="I37" i="23"/>
  <c r="K37" i="23"/>
  <c r="M37" i="23"/>
  <c r="O37" i="23"/>
  <c r="Q37" i="23"/>
  <c r="S37" i="23"/>
  <c r="U37" i="23"/>
  <c r="W37" i="23"/>
  <c r="Z37" i="23"/>
  <c r="AB37" i="23"/>
  <c r="AD37" i="23"/>
  <c r="AF37" i="23"/>
  <c r="AH37" i="23"/>
  <c r="AJ37" i="23"/>
  <c r="AN37" i="23"/>
  <c r="AP37" i="23"/>
  <c r="AR37" i="23"/>
  <c r="AT37" i="23"/>
  <c r="AV37" i="23"/>
  <c r="AX37" i="23"/>
  <c r="E38" i="23"/>
  <c r="G38" i="23"/>
  <c r="I38" i="23"/>
  <c r="K38" i="23"/>
  <c r="M38" i="23"/>
  <c r="O38" i="23"/>
  <c r="Q38" i="23"/>
  <c r="S38" i="23"/>
  <c r="U38" i="23"/>
  <c r="W38" i="23"/>
  <c r="Z38" i="23"/>
  <c r="AB38" i="23"/>
  <c r="AD38" i="23"/>
  <c r="AF38" i="23"/>
  <c r="AH38" i="23"/>
  <c r="AJ38" i="23"/>
  <c r="AN38" i="23"/>
  <c r="AP38" i="23"/>
  <c r="AR38" i="23"/>
  <c r="AT38" i="23"/>
  <c r="AV38" i="23"/>
  <c r="AX38" i="23"/>
  <c r="E39" i="23"/>
  <c r="G39" i="23"/>
  <c r="I39" i="23"/>
  <c r="K39" i="23"/>
  <c r="M39" i="23"/>
  <c r="O39" i="23"/>
  <c r="Q39" i="23"/>
  <c r="S39" i="23"/>
  <c r="U39" i="23"/>
  <c r="W39" i="23"/>
  <c r="Z39" i="23"/>
  <c r="AB39" i="23"/>
  <c r="AD39" i="23"/>
  <c r="AF39" i="23"/>
  <c r="AH39" i="23"/>
  <c r="AJ39" i="23"/>
  <c r="AN39" i="23"/>
  <c r="AP39" i="23"/>
  <c r="AR39" i="23"/>
  <c r="AT39" i="23"/>
  <c r="AV39" i="23"/>
  <c r="AX39" i="23"/>
  <c r="E40" i="23"/>
  <c r="G40" i="23"/>
  <c r="I40" i="23"/>
  <c r="K40" i="23"/>
  <c r="M40" i="23"/>
  <c r="O40" i="23"/>
  <c r="Q40" i="23"/>
  <c r="S40" i="23"/>
  <c r="U40" i="23"/>
  <c r="W40" i="23"/>
  <c r="Z40" i="23"/>
  <c r="AB40" i="23"/>
  <c r="AD40" i="23"/>
  <c r="AF40" i="23"/>
  <c r="AH40" i="23"/>
  <c r="AJ40" i="23"/>
  <c r="AN40" i="23"/>
  <c r="AP40" i="23"/>
  <c r="AR40" i="23"/>
  <c r="AT40" i="23"/>
  <c r="AV40" i="23"/>
  <c r="AX40" i="23"/>
  <c r="E41" i="23"/>
  <c r="G41" i="23"/>
  <c r="I41" i="23"/>
  <c r="K41" i="23"/>
  <c r="M41" i="23"/>
  <c r="O41" i="23"/>
  <c r="Q41" i="23"/>
  <c r="S41" i="23"/>
  <c r="U41" i="23"/>
  <c r="W41" i="23"/>
  <c r="Z41" i="23"/>
  <c r="AB41" i="23"/>
  <c r="AD41" i="23"/>
  <c r="AF41" i="23"/>
  <c r="AH41" i="23"/>
  <c r="AJ41" i="23"/>
  <c r="AN41" i="23"/>
  <c r="AP41" i="23"/>
  <c r="AR41" i="23"/>
  <c r="AT41" i="23"/>
  <c r="AV41" i="23"/>
  <c r="AX41" i="23"/>
  <c r="E42" i="23"/>
  <c r="G42" i="23"/>
  <c r="I42" i="23"/>
  <c r="K42" i="23"/>
  <c r="M42" i="23"/>
  <c r="O42" i="23"/>
  <c r="Q42" i="23"/>
  <c r="S42" i="23"/>
  <c r="U42" i="23"/>
  <c r="W42" i="23"/>
  <c r="Z42" i="23"/>
  <c r="AB42" i="23"/>
  <c r="AD42" i="23"/>
  <c r="AF42" i="23"/>
  <c r="AH42" i="23"/>
  <c r="AJ42" i="23"/>
  <c r="AN42" i="23"/>
  <c r="AP42" i="23"/>
  <c r="AR42" i="23"/>
  <c r="AT42" i="23"/>
  <c r="AV42" i="23"/>
  <c r="AX42" i="23"/>
  <c r="E43" i="23"/>
  <c r="G43" i="23"/>
  <c r="I43" i="23"/>
  <c r="K43" i="23"/>
  <c r="M43" i="23"/>
  <c r="O43" i="23"/>
  <c r="Q43" i="23"/>
  <c r="S43" i="23"/>
  <c r="U43" i="23"/>
  <c r="W43" i="23"/>
  <c r="Z43" i="23"/>
  <c r="AB43" i="23"/>
  <c r="AD43" i="23"/>
  <c r="AF43" i="23"/>
  <c r="AH43" i="23"/>
  <c r="AJ43" i="23"/>
  <c r="AN43" i="23"/>
  <c r="AP43" i="23"/>
  <c r="AR43" i="23"/>
  <c r="AT43" i="23"/>
  <c r="AV43" i="23"/>
  <c r="AX43" i="23"/>
  <c r="E44" i="23"/>
  <c r="G44" i="23"/>
  <c r="I44" i="23"/>
  <c r="K44" i="23"/>
  <c r="M44" i="23"/>
  <c r="O44" i="23"/>
  <c r="Q44" i="23"/>
  <c r="S44" i="23"/>
  <c r="U44" i="23"/>
  <c r="W44" i="23"/>
  <c r="Z44" i="23"/>
  <c r="AB44" i="23"/>
  <c r="AD44" i="23"/>
  <c r="AF44" i="23"/>
  <c r="AH44" i="23"/>
  <c r="AJ44" i="23"/>
  <c r="AN44" i="23"/>
  <c r="AP44" i="23"/>
  <c r="AR44" i="23"/>
  <c r="AT44" i="23"/>
  <c r="AV44" i="23"/>
  <c r="AX44" i="23"/>
  <c r="E45" i="23"/>
  <c r="G45" i="23"/>
  <c r="I45" i="23"/>
  <c r="K45" i="23"/>
  <c r="M45" i="23"/>
  <c r="O45" i="23"/>
  <c r="Q45" i="23"/>
  <c r="S45" i="23"/>
  <c r="U45" i="23"/>
  <c r="W45" i="23"/>
  <c r="Z45" i="23"/>
  <c r="AB45" i="23"/>
  <c r="AD45" i="23"/>
  <c r="AF45" i="23"/>
  <c r="AH45" i="23"/>
  <c r="AJ45" i="23"/>
  <c r="AN45" i="23"/>
  <c r="AP45" i="23"/>
  <c r="AR45" i="23"/>
  <c r="AT45" i="23"/>
  <c r="AV45" i="23"/>
  <c r="AX45" i="23"/>
  <c r="D46" i="23"/>
  <c r="E46" i="23" s="1"/>
  <c r="F46" i="23"/>
  <c r="G46" i="23" s="1"/>
  <c r="H46" i="23"/>
  <c r="I46" i="23" s="1"/>
  <c r="J46" i="23"/>
  <c r="K46" i="23" s="1"/>
  <c r="L46" i="23"/>
  <c r="M46" i="23" s="1"/>
  <c r="N46" i="23"/>
  <c r="O46" i="23" s="1"/>
  <c r="P46" i="23"/>
  <c r="Q46" i="23" s="1"/>
  <c r="R46" i="23"/>
  <c r="S46" i="23" s="1"/>
  <c r="T46" i="23"/>
  <c r="U46" i="23" s="1"/>
  <c r="V46" i="23"/>
  <c r="W46" i="23" s="1"/>
  <c r="Y46" i="23"/>
  <c r="Z46" i="23" s="1"/>
  <c r="AA46" i="23"/>
  <c r="AB46" i="23" s="1"/>
  <c r="AC46" i="23"/>
  <c r="AD46" i="23" s="1"/>
  <c r="AE46" i="23"/>
  <c r="AF46" i="23" s="1"/>
  <c r="AG46" i="23"/>
  <c r="AH46" i="23" s="1"/>
  <c r="AI46" i="23"/>
  <c r="AJ46" i="23" s="1"/>
  <c r="AK46" i="23"/>
  <c r="AL46" i="23"/>
  <c r="AM46" i="23"/>
  <c r="AN46" i="23" s="1"/>
  <c r="AO46" i="23"/>
  <c r="AP46" i="23" s="1"/>
  <c r="AQ46" i="23"/>
  <c r="AR46" i="23" s="1"/>
  <c r="AS46" i="23"/>
  <c r="AT46" i="23" s="1"/>
  <c r="AU46" i="23"/>
  <c r="AV46" i="23" s="1"/>
  <c r="AW46" i="23"/>
  <c r="AX46" i="23" s="1"/>
  <c r="C50" i="23"/>
  <c r="E10" i="22"/>
  <c r="G10" i="22"/>
  <c r="I10" i="22"/>
  <c r="K10" i="22"/>
  <c r="M10" i="22"/>
  <c r="O10" i="22"/>
  <c r="R10" i="22"/>
  <c r="T10" i="22"/>
  <c r="V10" i="22"/>
  <c r="X10" i="22"/>
  <c r="AB10" i="22"/>
  <c r="AD10" i="22"/>
  <c r="AF10" i="22"/>
  <c r="AH10" i="22"/>
  <c r="AJ10" i="22"/>
  <c r="E11" i="22"/>
  <c r="G11" i="22"/>
  <c r="I11" i="22"/>
  <c r="K11" i="22"/>
  <c r="M11" i="22"/>
  <c r="O11" i="22"/>
  <c r="R11" i="22"/>
  <c r="T11" i="22"/>
  <c r="V11" i="22"/>
  <c r="X11" i="22"/>
  <c r="AB11" i="22"/>
  <c r="AD11" i="22"/>
  <c r="AF11" i="22"/>
  <c r="AH11" i="22"/>
  <c r="AJ11" i="22"/>
  <c r="E12" i="22"/>
  <c r="G12" i="22"/>
  <c r="I12" i="22"/>
  <c r="K12" i="22"/>
  <c r="M12" i="22"/>
  <c r="O12" i="22"/>
  <c r="R12" i="22"/>
  <c r="T12" i="22"/>
  <c r="V12" i="22"/>
  <c r="X12" i="22"/>
  <c r="AB12" i="22"/>
  <c r="AD12" i="22"/>
  <c r="AF12" i="22"/>
  <c r="AH12" i="22"/>
  <c r="AJ12" i="22"/>
  <c r="E13" i="22"/>
  <c r="G13" i="22"/>
  <c r="I13" i="22"/>
  <c r="K13" i="22"/>
  <c r="M13" i="22"/>
  <c r="O13" i="22"/>
  <c r="R13" i="22"/>
  <c r="T13" i="22"/>
  <c r="V13" i="22"/>
  <c r="X13" i="22"/>
  <c r="AB13" i="22"/>
  <c r="AD13" i="22"/>
  <c r="AF13" i="22"/>
  <c r="AH13" i="22"/>
  <c r="AJ13" i="22"/>
  <c r="E14" i="22"/>
  <c r="G14" i="22"/>
  <c r="I14" i="22"/>
  <c r="K14" i="22"/>
  <c r="M14" i="22"/>
  <c r="O14" i="22"/>
  <c r="R14" i="22"/>
  <c r="T14" i="22"/>
  <c r="V14" i="22"/>
  <c r="X14" i="22"/>
  <c r="AB14" i="22"/>
  <c r="AD14" i="22"/>
  <c r="AF14" i="22"/>
  <c r="AH14" i="22"/>
  <c r="AJ14" i="22"/>
  <c r="E15" i="22"/>
  <c r="G15" i="22"/>
  <c r="I15" i="22"/>
  <c r="K15" i="22"/>
  <c r="M15" i="22"/>
  <c r="O15" i="22"/>
  <c r="R15" i="22"/>
  <c r="T15" i="22"/>
  <c r="V15" i="22"/>
  <c r="X15" i="22"/>
  <c r="AB15" i="22"/>
  <c r="AD15" i="22"/>
  <c r="AF15" i="22"/>
  <c r="AH15" i="22"/>
  <c r="AJ15" i="22"/>
  <c r="E16" i="22"/>
  <c r="G16" i="22"/>
  <c r="I16" i="22"/>
  <c r="K16" i="22"/>
  <c r="M16" i="22"/>
  <c r="O16" i="22"/>
  <c r="R16" i="22"/>
  <c r="T16" i="22"/>
  <c r="V16" i="22"/>
  <c r="X16" i="22"/>
  <c r="AB16" i="22"/>
  <c r="AD16" i="22"/>
  <c r="AF16" i="22"/>
  <c r="AH16" i="22"/>
  <c r="AJ16" i="22"/>
  <c r="E17" i="22"/>
  <c r="G17" i="22"/>
  <c r="I17" i="22"/>
  <c r="K17" i="22"/>
  <c r="M17" i="22"/>
  <c r="O17" i="22"/>
  <c r="R17" i="22"/>
  <c r="T17" i="22"/>
  <c r="V17" i="22"/>
  <c r="X17" i="22"/>
  <c r="AB17" i="22"/>
  <c r="AD17" i="22"/>
  <c r="AF17" i="22"/>
  <c r="AH17" i="22"/>
  <c r="AJ17" i="22"/>
  <c r="E18" i="22"/>
  <c r="G18" i="22"/>
  <c r="I18" i="22"/>
  <c r="K18" i="22"/>
  <c r="M18" i="22"/>
  <c r="O18" i="22"/>
  <c r="R18" i="22"/>
  <c r="T18" i="22"/>
  <c r="V18" i="22"/>
  <c r="X18" i="22"/>
  <c r="AB18" i="22"/>
  <c r="AD18" i="22"/>
  <c r="AF18" i="22"/>
  <c r="AH18" i="22"/>
  <c r="AJ18" i="22"/>
  <c r="E19" i="22"/>
  <c r="G19" i="22"/>
  <c r="I19" i="22"/>
  <c r="K19" i="22"/>
  <c r="M19" i="22"/>
  <c r="O19" i="22"/>
  <c r="R19" i="22"/>
  <c r="T19" i="22"/>
  <c r="V19" i="22"/>
  <c r="X19" i="22"/>
  <c r="AB19" i="22"/>
  <c r="AD19" i="22"/>
  <c r="AF19" i="22"/>
  <c r="AH19" i="22"/>
  <c r="AJ19" i="22"/>
  <c r="E20" i="22"/>
  <c r="G20" i="22"/>
  <c r="I20" i="22"/>
  <c r="K20" i="22"/>
  <c r="M20" i="22"/>
  <c r="O20" i="22"/>
  <c r="R20" i="22"/>
  <c r="T20" i="22"/>
  <c r="V20" i="22"/>
  <c r="X20" i="22"/>
  <c r="AB20" i="22"/>
  <c r="AD20" i="22"/>
  <c r="AF20" i="22"/>
  <c r="AH20" i="22"/>
  <c r="AJ20" i="22"/>
  <c r="E21" i="22"/>
  <c r="G21" i="22"/>
  <c r="I21" i="22"/>
  <c r="K21" i="22"/>
  <c r="M21" i="22"/>
  <c r="O21" i="22"/>
  <c r="R21" i="22"/>
  <c r="T21" i="22"/>
  <c r="V21" i="22"/>
  <c r="X21" i="22"/>
  <c r="AB21" i="22"/>
  <c r="AD21" i="22"/>
  <c r="AF21" i="22"/>
  <c r="AH21" i="22"/>
  <c r="AJ21" i="22"/>
  <c r="E22" i="22"/>
  <c r="G22" i="22"/>
  <c r="I22" i="22"/>
  <c r="K22" i="22"/>
  <c r="M22" i="22"/>
  <c r="O22" i="22"/>
  <c r="R22" i="22"/>
  <c r="T22" i="22"/>
  <c r="V22" i="22"/>
  <c r="X22" i="22"/>
  <c r="AB22" i="22"/>
  <c r="AD22" i="22"/>
  <c r="AF22" i="22"/>
  <c r="AH22" i="22"/>
  <c r="AJ22" i="22"/>
  <c r="E23" i="22"/>
  <c r="G23" i="22"/>
  <c r="I23" i="22"/>
  <c r="K23" i="22"/>
  <c r="M23" i="22"/>
  <c r="O23" i="22"/>
  <c r="R23" i="22"/>
  <c r="T23" i="22"/>
  <c r="V23" i="22"/>
  <c r="X23" i="22"/>
  <c r="AB23" i="22"/>
  <c r="AD23" i="22"/>
  <c r="AF23" i="22"/>
  <c r="AH23" i="22"/>
  <c r="AJ23" i="22"/>
  <c r="E24" i="22"/>
  <c r="G24" i="22"/>
  <c r="I24" i="22"/>
  <c r="K24" i="22"/>
  <c r="M24" i="22"/>
  <c r="O24" i="22"/>
  <c r="R24" i="22"/>
  <c r="T24" i="22"/>
  <c r="V24" i="22"/>
  <c r="X24" i="22"/>
  <c r="AB24" i="22"/>
  <c r="AD24" i="22"/>
  <c r="AF24" i="22"/>
  <c r="AH24" i="22"/>
  <c r="AJ24" i="22"/>
  <c r="E25" i="22"/>
  <c r="G25" i="22"/>
  <c r="I25" i="22"/>
  <c r="K25" i="22"/>
  <c r="M25" i="22"/>
  <c r="O25" i="22"/>
  <c r="R25" i="22"/>
  <c r="T25" i="22"/>
  <c r="V25" i="22"/>
  <c r="X25" i="22"/>
  <c r="AB25" i="22"/>
  <c r="AD25" i="22"/>
  <c r="AF25" i="22"/>
  <c r="AH25" i="22"/>
  <c r="AJ25" i="22"/>
  <c r="E26" i="22"/>
  <c r="G26" i="22"/>
  <c r="I26" i="22"/>
  <c r="K26" i="22"/>
  <c r="M26" i="22"/>
  <c r="O26" i="22"/>
  <c r="R26" i="22"/>
  <c r="T26" i="22"/>
  <c r="V26" i="22"/>
  <c r="X26" i="22"/>
  <c r="AB26" i="22"/>
  <c r="AD26" i="22"/>
  <c r="AF26" i="22"/>
  <c r="AH26" i="22"/>
  <c r="AJ26" i="22"/>
  <c r="E27" i="22"/>
  <c r="G27" i="22"/>
  <c r="I27" i="22"/>
  <c r="K27" i="22"/>
  <c r="M27" i="22"/>
  <c r="O27" i="22"/>
  <c r="R27" i="22"/>
  <c r="T27" i="22"/>
  <c r="V27" i="22"/>
  <c r="X27" i="22"/>
  <c r="AB27" i="22"/>
  <c r="AD27" i="22"/>
  <c r="AF27" i="22"/>
  <c r="AH27" i="22"/>
  <c r="AJ27" i="22"/>
  <c r="E28" i="22"/>
  <c r="G28" i="22"/>
  <c r="I28" i="22"/>
  <c r="K28" i="22"/>
  <c r="M28" i="22"/>
  <c r="O28" i="22"/>
  <c r="R28" i="22"/>
  <c r="T28" i="22"/>
  <c r="V28" i="22"/>
  <c r="X28" i="22"/>
  <c r="AB28" i="22"/>
  <c r="AD28" i="22"/>
  <c r="AF28" i="22"/>
  <c r="AH28" i="22"/>
  <c r="AJ28" i="22"/>
  <c r="E29" i="22"/>
  <c r="G29" i="22"/>
  <c r="I29" i="22"/>
  <c r="K29" i="22"/>
  <c r="M29" i="22"/>
  <c r="O29" i="22"/>
  <c r="R29" i="22"/>
  <c r="T29" i="22"/>
  <c r="V29" i="22"/>
  <c r="X29" i="22"/>
  <c r="AB29" i="22"/>
  <c r="AD29" i="22"/>
  <c r="AF29" i="22"/>
  <c r="AH29" i="22"/>
  <c r="AJ29" i="22"/>
  <c r="E30" i="22"/>
  <c r="G30" i="22"/>
  <c r="I30" i="22"/>
  <c r="K30" i="22"/>
  <c r="M30" i="22"/>
  <c r="O30" i="22"/>
  <c r="R30" i="22"/>
  <c r="T30" i="22"/>
  <c r="V30" i="22"/>
  <c r="X30" i="22"/>
  <c r="AB30" i="22"/>
  <c r="AD30" i="22"/>
  <c r="AF30" i="22"/>
  <c r="AH30" i="22"/>
  <c r="AJ30" i="22"/>
  <c r="E31" i="22"/>
  <c r="G31" i="22"/>
  <c r="I31" i="22"/>
  <c r="K31" i="22"/>
  <c r="M31" i="22"/>
  <c r="O31" i="22"/>
  <c r="R31" i="22"/>
  <c r="T31" i="22"/>
  <c r="V31" i="22"/>
  <c r="X31" i="22"/>
  <c r="AB31" i="22"/>
  <c r="AD31" i="22"/>
  <c r="AF31" i="22"/>
  <c r="AH31" i="22"/>
  <c r="AJ31" i="22"/>
  <c r="E32" i="22"/>
  <c r="G32" i="22"/>
  <c r="I32" i="22"/>
  <c r="K32" i="22"/>
  <c r="M32" i="22"/>
  <c r="O32" i="22"/>
  <c r="R32" i="22"/>
  <c r="T32" i="22"/>
  <c r="V32" i="22"/>
  <c r="X32" i="22"/>
  <c r="AB32" i="22"/>
  <c r="AD32" i="22"/>
  <c r="AF32" i="22"/>
  <c r="AH32" i="22"/>
  <c r="AJ32" i="22"/>
  <c r="E33" i="22"/>
  <c r="G33" i="22"/>
  <c r="I33" i="22"/>
  <c r="K33" i="22"/>
  <c r="M33" i="22"/>
  <c r="O33" i="22"/>
  <c r="R33" i="22"/>
  <c r="T33" i="22"/>
  <c r="V33" i="22"/>
  <c r="X33" i="22"/>
  <c r="AB33" i="22"/>
  <c r="AD33" i="22"/>
  <c r="AF33" i="22"/>
  <c r="AH33" i="22"/>
  <c r="AJ33" i="22"/>
  <c r="E34" i="22"/>
  <c r="G34" i="22"/>
  <c r="I34" i="22"/>
  <c r="K34" i="22"/>
  <c r="M34" i="22"/>
  <c r="O34" i="22"/>
  <c r="R34" i="22"/>
  <c r="T34" i="22"/>
  <c r="V34" i="22"/>
  <c r="X34" i="22"/>
  <c r="AB34" i="22"/>
  <c r="AD34" i="22"/>
  <c r="AF34" i="22"/>
  <c r="AH34" i="22"/>
  <c r="AJ34" i="22"/>
  <c r="E35" i="22"/>
  <c r="G35" i="22"/>
  <c r="I35" i="22"/>
  <c r="K35" i="22"/>
  <c r="M35" i="22"/>
  <c r="O35" i="22"/>
  <c r="R35" i="22"/>
  <c r="T35" i="22"/>
  <c r="V35" i="22"/>
  <c r="X35" i="22"/>
  <c r="AB35" i="22"/>
  <c r="AD35" i="22"/>
  <c r="AF35" i="22"/>
  <c r="AH35" i="22"/>
  <c r="AJ35" i="22"/>
  <c r="E36" i="22"/>
  <c r="G36" i="22"/>
  <c r="I36" i="22"/>
  <c r="K36" i="22"/>
  <c r="M36" i="22"/>
  <c r="O36" i="22"/>
  <c r="R36" i="22"/>
  <c r="T36" i="22"/>
  <c r="V36" i="22"/>
  <c r="X36" i="22"/>
  <c r="AB36" i="22"/>
  <c r="AD36" i="22"/>
  <c r="AF36" i="22"/>
  <c r="AH36" i="22"/>
  <c r="AJ36" i="22"/>
  <c r="E37" i="22"/>
  <c r="G37" i="22"/>
  <c r="I37" i="22"/>
  <c r="K37" i="22"/>
  <c r="M37" i="22"/>
  <c r="O37" i="22"/>
  <c r="R37" i="22"/>
  <c r="T37" i="22"/>
  <c r="V37" i="22"/>
  <c r="X37" i="22"/>
  <c r="AB37" i="22"/>
  <c r="AD37" i="22"/>
  <c r="AF37" i="22"/>
  <c r="AH37" i="22"/>
  <c r="AJ37" i="22"/>
  <c r="E38" i="22"/>
  <c r="G38" i="22"/>
  <c r="I38" i="22"/>
  <c r="K38" i="22"/>
  <c r="M38" i="22"/>
  <c r="O38" i="22"/>
  <c r="R38" i="22"/>
  <c r="T38" i="22"/>
  <c r="V38" i="22"/>
  <c r="X38" i="22"/>
  <c r="AB38" i="22"/>
  <c r="AD38" i="22"/>
  <c r="AF38" i="22"/>
  <c r="AH38" i="22"/>
  <c r="AJ38" i="22"/>
  <c r="E39" i="22"/>
  <c r="G39" i="22"/>
  <c r="I39" i="22"/>
  <c r="K39" i="22"/>
  <c r="M39" i="22"/>
  <c r="O39" i="22"/>
  <c r="R39" i="22"/>
  <c r="T39" i="22"/>
  <c r="V39" i="22"/>
  <c r="X39" i="22"/>
  <c r="AB39" i="22"/>
  <c r="AD39" i="22"/>
  <c r="AF39" i="22"/>
  <c r="AH39" i="22"/>
  <c r="AJ39" i="22"/>
  <c r="E40" i="22"/>
  <c r="G40" i="22"/>
  <c r="I40" i="22"/>
  <c r="K40" i="22"/>
  <c r="M40" i="22"/>
  <c r="O40" i="22"/>
  <c r="R40" i="22"/>
  <c r="T40" i="22"/>
  <c r="V40" i="22"/>
  <c r="X40" i="22"/>
  <c r="AB40" i="22"/>
  <c r="AD40" i="22"/>
  <c r="AF40" i="22"/>
  <c r="AH40" i="22"/>
  <c r="AJ40" i="22"/>
  <c r="E41" i="22"/>
  <c r="G41" i="22"/>
  <c r="I41" i="22"/>
  <c r="K41" i="22"/>
  <c r="M41" i="22"/>
  <c r="O41" i="22"/>
  <c r="R41" i="22"/>
  <c r="T41" i="22"/>
  <c r="V41" i="22"/>
  <c r="X41" i="22"/>
  <c r="AB41" i="22"/>
  <c r="AD41" i="22"/>
  <c r="AF41" i="22"/>
  <c r="AH41" i="22"/>
  <c r="AJ41" i="22"/>
  <c r="E42" i="22"/>
  <c r="G42" i="22"/>
  <c r="I42" i="22"/>
  <c r="K42" i="22"/>
  <c r="M42" i="22"/>
  <c r="O42" i="22"/>
  <c r="R42" i="22"/>
  <c r="T42" i="22"/>
  <c r="V42" i="22"/>
  <c r="X42" i="22"/>
  <c r="AB42" i="22"/>
  <c r="AD42" i="22"/>
  <c r="AF42" i="22"/>
  <c r="AH42" i="22"/>
  <c r="AJ42" i="22"/>
  <c r="E43" i="22"/>
  <c r="G43" i="22"/>
  <c r="I43" i="22"/>
  <c r="K43" i="22"/>
  <c r="M43" i="22"/>
  <c r="O43" i="22"/>
  <c r="R43" i="22"/>
  <c r="T43" i="22"/>
  <c r="V43" i="22"/>
  <c r="X43" i="22"/>
  <c r="AB43" i="22"/>
  <c r="AD43" i="22"/>
  <c r="AF43" i="22"/>
  <c r="AH43" i="22"/>
  <c r="AJ43" i="22"/>
  <c r="E44" i="22"/>
  <c r="G44" i="22"/>
  <c r="I44" i="22"/>
  <c r="K44" i="22"/>
  <c r="M44" i="22"/>
  <c r="O44" i="22"/>
  <c r="R44" i="22"/>
  <c r="T44" i="22"/>
  <c r="V44" i="22"/>
  <c r="X44" i="22"/>
  <c r="AB44" i="22"/>
  <c r="AD44" i="22"/>
  <c r="AF44" i="22"/>
  <c r="AH44" i="22"/>
  <c r="AJ44" i="22"/>
  <c r="E45" i="22"/>
  <c r="G45" i="22"/>
  <c r="I45" i="22"/>
  <c r="K45" i="22"/>
  <c r="M45" i="22"/>
  <c r="O45" i="22"/>
  <c r="R45" i="22"/>
  <c r="T45" i="22"/>
  <c r="V45" i="22"/>
  <c r="X45" i="22"/>
  <c r="AB45" i="22"/>
  <c r="AD45" i="22"/>
  <c r="AF45" i="22"/>
  <c r="AH45" i="22"/>
  <c r="AJ45" i="22"/>
  <c r="C47" i="22"/>
  <c r="D47" i="22"/>
  <c r="F47" i="22"/>
  <c r="H47" i="22"/>
  <c r="J47" i="22"/>
  <c r="K47" i="22" s="1"/>
  <c r="L47" i="22"/>
  <c r="N47" i="22"/>
  <c r="P47" i="22"/>
  <c r="Q47" i="22"/>
  <c r="S47" i="22"/>
  <c r="U47" i="22"/>
  <c r="W47" i="22"/>
  <c r="Y47" i="22"/>
  <c r="Z47" i="22"/>
  <c r="AA47" i="22"/>
  <c r="AC47" i="22"/>
  <c r="AD47" i="22" s="1"/>
  <c r="AE47" i="22"/>
  <c r="AG47" i="22"/>
  <c r="AH47" i="22" s="1"/>
  <c r="AI47" i="22"/>
  <c r="AJ47" i="22" s="1"/>
  <c r="AN47" i="22"/>
  <c r="C52" i="22"/>
  <c r="F52" i="22"/>
  <c r="P52" i="22"/>
  <c r="Q52" i="22"/>
  <c r="C53" i="22"/>
  <c r="F53" i="22"/>
  <c r="P53" i="22"/>
  <c r="Q53" i="22"/>
  <c r="C54" i="22"/>
  <c r="F54" i="22"/>
  <c r="P54" i="22"/>
  <c r="Q54" i="22"/>
  <c r="E11" i="21"/>
  <c r="G11" i="21"/>
  <c r="I11" i="21"/>
  <c r="K11" i="21"/>
  <c r="M11" i="21"/>
  <c r="P11" i="21"/>
  <c r="R11" i="21"/>
  <c r="V11" i="21"/>
  <c r="X11" i="21"/>
  <c r="Z11" i="21"/>
  <c r="AA11" i="21"/>
  <c r="AB11" i="21"/>
  <c r="T11" i="21" s="1"/>
  <c r="E12" i="21"/>
  <c r="G12" i="21"/>
  <c r="I12" i="21"/>
  <c r="K12" i="21"/>
  <c r="M12" i="21"/>
  <c r="P12" i="21"/>
  <c r="R12" i="21"/>
  <c r="V12" i="21"/>
  <c r="X12" i="21"/>
  <c r="Z12" i="21"/>
  <c r="AA12" i="21"/>
  <c r="AA47" i="21" s="1"/>
  <c r="AB12" i="21"/>
  <c r="T12" i="21" s="1"/>
  <c r="E13" i="21"/>
  <c r="G13" i="21"/>
  <c r="I13" i="21"/>
  <c r="K13" i="21"/>
  <c r="M13" i="21"/>
  <c r="P13" i="21"/>
  <c r="R13" i="21"/>
  <c r="V13" i="21"/>
  <c r="X13" i="21"/>
  <c r="Z13" i="21"/>
  <c r="AA13" i="21"/>
  <c r="AB13" i="21"/>
  <c r="T13" i="21"/>
  <c r="E14" i="21"/>
  <c r="G14" i="21"/>
  <c r="I14" i="21"/>
  <c r="K14" i="21"/>
  <c r="M14" i="21"/>
  <c r="P14" i="21"/>
  <c r="R14" i="21"/>
  <c r="V14" i="21"/>
  <c r="X14" i="21"/>
  <c r="Z14" i="21"/>
  <c r="AA14" i="21"/>
  <c r="AB14" i="21"/>
  <c r="T14" i="21" s="1"/>
  <c r="E15" i="21"/>
  <c r="G15" i="21"/>
  <c r="I15" i="21"/>
  <c r="K15" i="21"/>
  <c r="M15" i="21"/>
  <c r="P15" i="21"/>
  <c r="R15" i="21"/>
  <c r="V15" i="21"/>
  <c r="X15" i="21"/>
  <c r="Z15" i="21"/>
  <c r="AA15" i="21"/>
  <c r="AB15" i="21"/>
  <c r="T15" i="21" s="1"/>
  <c r="E16" i="21"/>
  <c r="G16" i="21"/>
  <c r="I16" i="21"/>
  <c r="K16" i="21"/>
  <c r="M16" i="21"/>
  <c r="P16" i="21"/>
  <c r="R16" i="21"/>
  <c r="V16" i="21"/>
  <c r="X16" i="21"/>
  <c r="Z16" i="21"/>
  <c r="AA16" i="21"/>
  <c r="AB16" i="21"/>
  <c r="T16" i="21" s="1"/>
  <c r="E17" i="21"/>
  <c r="G17" i="21"/>
  <c r="I17" i="21"/>
  <c r="K17" i="21"/>
  <c r="M17" i="21"/>
  <c r="P17" i="21"/>
  <c r="R17" i="21"/>
  <c r="V17" i="21"/>
  <c r="X17" i="21"/>
  <c r="Z17" i="21"/>
  <c r="AA17" i="21"/>
  <c r="AB17" i="21"/>
  <c r="T17" i="21"/>
  <c r="E18" i="21"/>
  <c r="G18" i="21"/>
  <c r="I18" i="21"/>
  <c r="K18" i="21"/>
  <c r="M18" i="21"/>
  <c r="P18" i="21"/>
  <c r="R18" i="21"/>
  <c r="V18" i="21"/>
  <c r="X18" i="21"/>
  <c r="Z18" i="21"/>
  <c r="AA18" i="21"/>
  <c r="AB18" i="21"/>
  <c r="T18" i="21" s="1"/>
  <c r="E19" i="21"/>
  <c r="G19" i="21"/>
  <c r="I19" i="21"/>
  <c r="K19" i="21"/>
  <c r="M19" i="21"/>
  <c r="P19" i="21"/>
  <c r="R19" i="21"/>
  <c r="V19" i="21"/>
  <c r="X19" i="21"/>
  <c r="Z19" i="21"/>
  <c r="AA19" i="21"/>
  <c r="AB19" i="21"/>
  <c r="T19" i="21" s="1"/>
  <c r="E20" i="21"/>
  <c r="G20" i="21"/>
  <c r="I20" i="21"/>
  <c r="K20" i="21"/>
  <c r="M20" i="21"/>
  <c r="P20" i="21"/>
  <c r="R20" i="21"/>
  <c r="V20" i="21"/>
  <c r="X20" i="21"/>
  <c r="Z20" i="21"/>
  <c r="AA20" i="21"/>
  <c r="AB20" i="21"/>
  <c r="T20" i="21" s="1"/>
  <c r="E21" i="21"/>
  <c r="G21" i="21"/>
  <c r="I21" i="21"/>
  <c r="K21" i="21"/>
  <c r="M21" i="21"/>
  <c r="P21" i="21"/>
  <c r="R21" i="21"/>
  <c r="V21" i="21"/>
  <c r="X21" i="21"/>
  <c r="Z21" i="21"/>
  <c r="AA21" i="21"/>
  <c r="AB21" i="21"/>
  <c r="T21" i="21"/>
  <c r="E22" i="21"/>
  <c r="G22" i="21"/>
  <c r="I22" i="21"/>
  <c r="K22" i="21"/>
  <c r="M22" i="21"/>
  <c r="P22" i="21"/>
  <c r="R22" i="21"/>
  <c r="V22" i="21"/>
  <c r="X22" i="21"/>
  <c r="Z22" i="21"/>
  <c r="AA22" i="21"/>
  <c r="AB22" i="21"/>
  <c r="T22" i="21" s="1"/>
  <c r="E23" i="21"/>
  <c r="G23" i="21"/>
  <c r="I23" i="21"/>
  <c r="K23" i="21"/>
  <c r="M23" i="21"/>
  <c r="P23" i="21"/>
  <c r="R23" i="21"/>
  <c r="V23" i="21"/>
  <c r="X23" i="21"/>
  <c r="Z23" i="21"/>
  <c r="AA23" i="21"/>
  <c r="AB23" i="21"/>
  <c r="T23" i="21" s="1"/>
  <c r="E24" i="21"/>
  <c r="G24" i="21"/>
  <c r="I24" i="21"/>
  <c r="K24" i="21"/>
  <c r="M24" i="21"/>
  <c r="P24" i="21"/>
  <c r="R24" i="21"/>
  <c r="V24" i="21"/>
  <c r="X24" i="21"/>
  <c r="Z24" i="21"/>
  <c r="AA24" i="21"/>
  <c r="AB24" i="21"/>
  <c r="T24" i="21" s="1"/>
  <c r="E25" i="21"/>
  <c r="G25" i="21"/>
  <c r="I25" i="21"/>
  <c r="K25" i="21"/>
  <c r="M25" i="21"/>
  <c r="P25" i="21"/>
  <c r="R25" i="21"/>
  <c r="V25" i="21"/>
  <c r="X25" i="21"/>
  <c r="Z25" i="21"/>
  <c r="AA25" i="21"/>
  <c r="AB25" i="21"/>
  <c r="T25" i="21"/>
  <c r="E26" i="21"/>
  <c r="G26" i="21"/>
  <c r="I26" i="21"/>
  <c r="K26" i="21"/>
  <c r="M26" i="21"/>
  <c r="P26" i="21"/>
  <c r="R26" i="21"/>
  <c r="V26" i="21"/>
  <c r="X26" i="21"/>
  <c r="Z26" i="21"/>
  <c r="AA26" i="21"/>
  <c r="AB26" i="21"/>
  <c r="T26" i="21" s="1"/>
  <c r="E27" i="21"/>
  <c r="G27" i="21"/>
  <c r="I27" i="21"/>
  <c r="K27" i="21"/>
  <c r="M27" i="21"/>
  <c r="P27" i="21"/>
  <c r="R27" i="21"/>
  <c r="V27" i="21"/>
  <c r="X27" i="21"/>
  <c r="Z27" i="21"/>
  <c r="AA27" i="21"/>
  <c r="AB27" i="21"/>
  <c r="T27" i="21" s="1"/>
  <c r="E28" i="21"/>
  <c r="G28" i="21"/>
  <c r="I28" i="21"/>
  <c r="K28" i="21"/>
  <c r="M28" i="21"/>
  <c r="P28" i="21"/>
  <c r="R28" i="21"/>
  <c r="V28" i="21"/>
  <c r="X28" i="21"/>
  <c r="Z28" i="21"/>
  <c r="AA28" i="21"/>
  <c r="AB28" i="21"/>
  <c r="T28" i="21" s="1"/>
  <c r="E29" i="21"/>
  <c r="G29" i="21"/>
  <c r="I29" i="21"/>
  <c r="K29" i="21"/>
  <c r="M29" i="21"/>
  <c r="P29" i="21"/>
  <c r="R29" i="21"/>
  <c r="V29" i="21"/>
  <c r="X29" i="21"/>
  <c r="Z29" i="21"/>
  <c r="AA29" i="21"/>
  <c r="AB29" i="21"/>
  <c r="T29" i="21"/>
  <c r="E30" i="21"/>
  <c r="G30" i="21"/>
  <c r="I30" i="21"/>
  <c r="K30" i="21"/>
  <c r="M30" i="21"/>
  <c r="P30" i="21"/>
  <c r="R30" i="21"/>
  <c r="V30" i="21"/>
  <c r="X30" i="21"/>
  <c r="Z30" i="21"/>
  <c r="AA30" i="21"/>
  <c r="AB30" i="21"/>
  <c r="T30" i="21" s="1"/>
  <c r="E31" i="21"/>
  <c r="G31" i="21"/>
  <c r="I31" i="21"/>
  <c r="K31" i="21"/>
  <c r="M31" i="21"/>
  <c r="P31" i="21"/>
  <c r="R31" i="21"/>
  <c r="V31" i="21"/>
  <c r="X31" i="21"/>
  <c r="Z31" i="21"/>
  <c r="AA31" i="21"/>
  <c r="AB31" i="21"/>
  <c r="T31" i="21" s="1"/>
  <c r="E32" i="21"/>
  <c r="G32" i="21"/>
  <c r="I32" i="21"/>
  <c r="K32" i="21"/>
  <c r="M32" i="21"/>
  <c r="P32" i="21"/>
  <c r="R32" i="21"/>
  <c r="V32" i="21"/>
  <c r="X32" i="21"/>
  <c r="Z32" i="21"/>
  <c r="AA32" i="21"/>
  <c r="AB32" i="21"/>
  <c r="T32" i="21" s="1"/>
  <c r="E33" i="21"/>
  <c r="G33" i="21"/>
  <c r="I33" i="21"/>
  <c r="K33" i="21"/>
  <c r="M33" i="21"/>
  <c r="P33" i="21"/>
  <c r="R33" i="21"/>
  <c r="V33" i="21"/>
  <c r="X33" i="21"/>
  <c r="Z33" i="21"/>
  <c r="AA33" i="21"/>
  <c r="AB33" i="21"/>
  <c r="T33" i="21"/>
  <c r="E34" i="21"/>
  <c r="G34" i="21"/>
  <c r="I34" i="21"/>
  <c r="K34" i="21"/>
  <c r="M34" i="21"/>
  <c r="P34" i="21"/>
  <c r="R34" i="21"/>
  <c r="V34" i="21"/>
  <c r="X34" i="21"/>
  <c r="Z34" i="21"/>
  <c r="AA34" i="21"/>
  <c r="AB34" i="21"/>
  <c r="T34" i="21" s="1"/>
  <c r="E35" i="21"/>
  <c r="G35" i="21"/>
  <c r="I35" i="21"/>
  <c r="K35" i="21"/>
  <c r="M35" i="21"/>
  <c r="P35" i="21"/>
  <c r="R35" i="21"/>
  <c r="V35" i="21"/>
  <c r="X35" i="21"/>
  <c r="Z35" i="21"/>
  <c r="AA35" i="21"/>
  <c r="AB35" i="21"/>
  <c r="T35" i="21" s="1"/>
  <c r="E36" i="21"/>
  <c r="G36" i="21"/>
  <c r="I36" i="21"/>
  <c r="K36" i="21"/>
  <c r="M36" i="21"/>
  <c r="P36" i="21"/>
  <c r="R36" i="21"/>
  <c r="V36" i="21"/>
  <c r="X36" i="21"/>
  <c r="Z36" i="21"/>
  <c r="AA36" i="21"/>
  <c r="AB36" i="21"/>
  <c r="T36" i="21" s="1"/>
  <c r="E37" i="21"/>
  <c r="G37" i="21"/>
  <c r="I37" i="21"/>
  <c r="K37" i="21"/>
  <c r="M37" i="21"/>
  <c r="P37" i="21"/>
  <c r="R37" i="21"/>
  <c r="V37" i="21"/>
  <c r="X37" i="21"/>
  <c r="Z37" i="21"/>
  <c r="AA37" i="21"/>
  <c r="AB37" i="21"/>
  <c r="T37" i="21"/>
  <c r="E38" i="21"/>
  <c r="G38" i="21"/>
  <c r="I38" i="21"/>
  <c r="K38" i="21"/>
  <c r="M38" i="21"/>
  <c r="P38" i="21"/>
  <c r="R38" i="21"/>
  <c r="V38" i="21"/>
  <c r="X38" i="21"/>
  <c r="Z38" i="21"/>
  <c r="AA38" i="21"/>
  <c r="AB38" i="21"/>
  <c r="T38" i="21" s="1"/>
  <c r="E39" i="21"/>
  <c r="G39" i="21"/>
  <c r="I39" i="21"/>
  <c r="K39" i="21"/>
  <c r="M39" i="21"/>
  <c r="P39" i="21"/>
  <c r="R39" i="21"/>
  <c r="V39" i="21"/>
  <c r="X39" i="21"/>
  <c r="Z39" i="21"/>
  <c r="AA39" i="21"/>
  <c r="AB39" i="21"/>
  <c r="T39" i="21" s="1"/>
  <c r="E40" i="21"/>
  <c r="G40" i="21"/>
  <c r="I40" i="21"/>
  <c r="K40" i="21"/>
  <c r="M40" i="21"/>
  <c r="P40" i="21"/>
  <c r="R40" i="21"/>
  <c r="V40" i="21"/>
  <c r="X40" i="21"/>
  <c r="Z40" i="21"/>
  <c r="AA40" i="21"/>
  <c r="AB40" i="21"/>
  <c r="T40" i="21" s="1"/>
  <c r="E41" i="21"/>
  <c r="G41" i="21"/>
  <c r="I41" i="21"/>
  <c r="K41" i="21"/>
  <c r="M41" i="21"/>
  <c r="P41" i="21"/>
  <c r="R41" i="21"/>
  <c r="V41" i="21"/>
  <c r="X41" i="21"/>
  <c r="Z41" i="21"/>
  <c r="AA41" i="21"/>
  <c r="AB41" i="21"/>
  <c r="T41" i="21"/>
  <c r="E42" i="21"/>
  <c r="G42" i="21"/>
  <c r="I42" i="21"/>
  <c r="K42" i="21"/>
  <c r="M42" i="21"/>
  <c r="P42" i="21"/>
  <c r="R42" i="21"/>
  <c r="V42" i="21"/>
  <c r="X42" i="21"/>
  <c r="Z42" i="21"/>
  <c r="AA42" i="21"/>
  <c r="AB42" i="21"/>
  <c r="T42" i="21" s="1"/>
  <c r="E43" i="21"/>
  <c r="G43" i="21"/>
  <c r="I43" i="21"/>
  <c r="K43" i="21"/>
  <c r="M43" i="21"/>
  <c r="P43" i="21"/>
  <c r="R43" i="21"/>
  <c r="V43" i="21"/>
  <c r="X43" i="21"/>
  <c r="Z43" i="21"/>
  <c r="AA43" i="21"/>
  <c r="AB43" i="21"/>
  <c r="T43" i="21" s="1"/>
  <c r="E44" i="21"/>
  <c r="G44" i="21"/>
  <c r="I44" i="21"/>
  <c r="K44" i="21"/>
  <c r="M44" i="21"/>
  <c r="P44" i="21"/>
  <c r="R44" i="21"/>
  <c r="V44" i="21"/>
  <c r="X44" i="21"/>
  <c r="Z44" i="21"/>
  <c r="AA44" i="21"/>
  <c r="AB44" i="21"/>
  <c r="T44" i="21" s="1"/>
  <c r="E45" i="21"/>
  <c r="G45" i="21"/>
  <c r="I45" i="21"/>
  <c r="K45" i="21"/>
  <c r="M45" i="21"/>
  <c r="P45" i="21"/>
  <c r="R45" i="21"/>
  <c r="V45" i="21"/>
  <c r="X45" i="21"/>
  <c r="Z45" i="21"/>
  <c r="AA45" i="21"/>
  <c r="AB45" i="21"/>
  <c r="T45" i="21"/>
  <c r="E46" i="21"/>
  <c r="G46" i="21"/>
  <c r="I46" i="21"/>
  <c r="K46" i="21"/>
  <c r="M46" i="21"/>
  <c r="P46" i="21"/>
  <c r="R46" i="21"/>
  <c r="V46" i="21"/>
  <c r="X46" i="21"/>
  <c r="Z46" i="21"/>
  <c r="AA46" i="21"/>
  <c r="AB46" i="21"/>
  <c r="T46" i="21" s="1"/>
  <c r="C47" i="21"/>
  <c r="AB47" i="21" s="1"/>
  <c r="D47" i="21"/>
  <c r="F47" i="21"/>
  <c r="H47" i="21"/>
  <c r="I47" i="21" s="1"/>
  <c r="J47" i="21"/>
  <c r="L47" i="21"/>
  <c r="M47" i="21" s="1"/>
  <c r="N47" i="21"/>
  <c r="O47" i="21"/>
  <c r="Q47" i="21"/>
  <c r="S47" i="21"/>
  <c r="U47" i="21"/>
  <c r="W47" i="21"/>
  <c r="X47" i="21" s="1"/>
  <c r="Y47" i="21"/>
  <c r="E12" i="20"/>
  <c r="G12" i="20"/>
  <c r="I12" i="20"/>
  <c r="K12" i="20"/>
  <c r="M12" i="20"/>
  <c r="P12" i="20"/>
  <c r="R12" i="20"/>
  <c r="E11" i="20"/>
  <c r="G11" i="20"/>
  <c r="I11" i="20"/>
  <c r="K11" i="20"/>
  <c r="M11" i="20"/>
  <c r="P11" i="20"/>
  <c r="R11" i="20"/>
  <c r="E13" i="20"/>
  <c r="G13" i="20"/>
  <c r="I13" i="20"/>
  <c r="K13" i="20"/>
  <c r="M13" i="20"/>
  <c r="P13" i="20"/>
  <c r="R13" i="20"/>
  <c r="E14" i="20"/>
  <c r="G14" i="20"/>
  <c r="I14" i="20"/>
  <c r="K14" i="20"/>
  <c r="M14" i="20"/>
  <c r="P14" i="20"/>
  <c r="Q14" i="20"/>
  <c r="R14" i="20"/>
  <c r="E15" i="20"/>
  <c r="G15" i="20"/>
  <c r="I15" i="20"/>
  <c r="K15" i="20"/>
  <c r="M15" i="20"/>
  <c r="P15" i="20"/>
  <c r="R15" i="20"/>
  <c r="E16" i="20"/>
  <c r="G16" i="20"/>
  <c r="I16" i="20"/>
  <c r="K16" i="20"/>
  <c r="M16" i="20"/>
  <c r="P16" i="20"/>
  <c r="R16" i="20"/>
  <c r="E17" i="20"/>
  <c r="G17" i="20"/>
  <c r="I17" i="20"/>
  <c r="K17" i="20"/>
  <c r="M17" i="20"/>
  <c r="P17" i="20"/>
  <c r="Q17" i="20"/>
  <c r="E18" i="20"/>
  <c r="G18" i="20"/>
  <c r="I18" i="20"/>
  <c r="K18" i="20"/>
  <c r="M18" i="20"/>
  <c r="P18" i="20"/>
  <c r="Q18" i="20"/>
  <c r="R18" i="20" s="1"/>
  <c r="E19" i="20"/>
  <c r="G19" i="20"/>
  <c r="I19" i="20"/>
  <c r="K19" i="20"/>
  <c r="M19" i="20"/>
  <c r="P19" i="20"/>
  <c r="Q19" i="20"/>
  <c r="R19" i="20" s="1"/>
  <c r="E20" i="20"/>
  <c r="G20" i="20"/>
  <c r="I20" i="20"/>
  <c r="K20" i="20"/>
  <c r="M20" i="20"/>
  <c r="P20" i="20"/>
  <c r="Q20" i="20"/>
  <c r="R20" i="20" s="1"/>
  <c r="E21" i="20"/>
  <c r="G21" i="20"/>
  <c r="I21" i="20"/>
  <c r="K21" i="20"/>
  <c r="M21" i="20"/>
  <c r="P21" i="20"/>
  <c r="Q21" i="20"/>
  <c r="R21" i="20" s="1"/>
  <c r="E22" i="20"/>
  <c r="G22" i="20"/>
  <c r="I22" i="20"/>
  <c r="K22" i="20"/>
  <c r="M22" i="20"/>
  <c r="P22" i="20"/>
  <c r="R22" i="20"/>
  <c r="E23" i="20"/>
  <c r="G23" i="20"/>
  <c r="I23" i="20"/>
  <c r="K23" i="20"/>
  <c r="M23" i="20"/>
  <c r="P23" i="20"/>
  <c r="Q23" i="20"/>
  <c r="R23" i="20"/>
  <c r="E24" i="20"/>
  <c r="G24" i="20"/>
  <c r="I24" i="20"/>
  <c r="K24" i="20"/>
  <c r="M24" i="20"/>
  <c r="P24" i="20"/>
  <c r="Q24" i="20"/>
  <c r="R24" i="20"/>
  <c r="E25" i="20"/>
  <c r="G25" i="20"/>
  <c r="I25" i="20"/>
  <c r="K25" i="20"/>
  <c r="M25" i="20"/>
  <c r="P25" i="20"/>
  <c r="R25" i="20"/>
  <c r="E26" i="20"/>
  <c r="G26" i="20"/>
  <c r="I26" i="20"/>
  <c r="K26" i="20"/>
  <c r="M26" i="20"/>
  <c r="P26" i="20"/>
  <c r="Q26" i="20"/>
  <c r="R26" i="20" s="1"/>
  <c r="E27" i="20"/>
  <c r="G27" i="20"/>
  <c r="I27" i="20"/>
  <c r="K27" i="20"/>
  <c r="M27" i="20"/>
  <c r="P27" i="20"/>
  <c r="R27" i="20"/>
  <c r="E28" i="20"/>
  <c r="G28" i="20"/>
  <c r="I28" i="20"/>
  <c r="K28" i="20"/>
  <c r="M28" i="20"/>
  <c r="P28" i="20"/>
  <c r="Q28" i="20"/>
  <c r="R28" i="20" s="1"/>
  <c r="E29" i="20"/>
  <c r="G29" i="20"/>
  <c r="I29" i="20"/>
  <c r="K29" i="20"/>
  <c r="M29" i="20"/>
  <c r="P29" i="20"/>
  <c r="Q29" i="20"/>
  <c r="R29" i="20" s="1"/>
  <c r="E30" i="20"/>
  <c r="G30" i="20"/>
  <c r="I30" i="20"/>
  <c r="K30" i="20"/>
  <c r="M30" i="20"/>
  <c r="P30" i="20"/>
  <c r="R30" i="20"/>
  <c r="E31" i="20"/>
  <c r="G31" i="20"/>
  <c r="I31" i="20"/>
  <c r="K31" i="20"/>
  <c r="M31" i="20"/>
  <c r="P31" i="20"/>
  <c r="Q31" i="20"/>
  <c r="R31" i="20" s="1"/>
  <c r="E32" i="20"/>
  <c r="G32" i="20"/>
  <c r="I32" i="20"/>
  <c r="K32" i="20"/>
  <c r="M32" i="20"/>
  <c r="P32" i="20"/>
  <c r="Q32" i="20"/>
  <c r="R32" i="20" s="1"/>
  <c r="E33" i="20"/>
  <c r="G33" i="20"/>
  <c r="I33" i="20"/>
  <c r="K33" i="20"/>
  <c r="M33" i="20"/>
  <c r="P33" i="20"/>
  <c r="Q33" i="20"/>
  <c r="R33" i="20" s="1"/>
  <c r="D34" i="20"/>
  <c r="D47" i="20" s="1"/>
  <c r="E47" i="20" s="1"/>
  <c r="G34" i="20"/>
  <c r="I34" i="20"/>
  <c r="K34" i="20"/>
  <c r="M34" i="20"/>
  <c r="P34" i="20"/>
  <c r="R34" i="20"/>
  <c r="E35" i="20"/>
  <c r="G35" i="20"/>
  <c r="I35" i="20"/>
  <c r="K35" i="20"/>
  <c r="M35" i="20"/>
  <c r="P35" i="20"/>
  <c r="R35" i="20"/>
  <c r="E36" i="20"/>
  <c r="G36" i="20"/>
  <c r="H36" i="20"/>
  <c r="I36" i="20" s="1"/>
  <c r="K36" i="20"/>
  <c r="M36" i="20"/>
  <c r="P36" i="20"/>
  <c r="Q36" i="20"/>
  <c r="R36" i="20" s="1"/>
  <c r="E37" i="20"/>
  <c r="G37" i="20"/>
  <c r="I37" i="20"/>
  <c r="K37" i="20"/>
  <c r="M37" i="20"/>
  <c r="P37" i="20"/>
  <c r="R37" i="20"/>
  <c r="E38" i="20"/>
  <c r="G38" i="20"/>
  <c r="I38" i="20"/>
  <c r="K38" i="20"/>
  <c r="M38" i="20"/>
  <c r="P38" i="20"/>
  <c r="Q38" i="20"/>
  <c r="R38" i="20"/>
  <c r="E39" i="20"/>
  <c r="G39" i="20"/>
  <c r="I39" i="20"/>
  <c r="K39" i="20"/>
  <c r="M39" i="20"/>
  <c r="P39" i="20"/>
  <c r="R39" i="20"/>
  <c r="E40" i="20"/>
  <c r="G40" i="20"/>
  <c r="I40" i="20"/>
  <c r="K40" i="20"/>
  <c r="M40" i="20"/>
  <c r="O40" i="20"/>
  <c r="O47" i="20"/>
  <c r="P47" i="20" s="1"/>
  <c r="Q40" i="20"/>
  <c r="R40" i="20" s="1"/>
  <c r="E41" i="20"/>
  <c r="G41" i="20"/>
  <c r="I41" i="20"/>
  <c r="K41" i="20"/>
  <c r="M41" i="20"/>
  <c r="P41" i="20"/>
  <c r="R41" i="20"/>
  <c r="E42" i="20"/>
  <c r="G42" i="20"/>
  <c r="I42" i="20"/>
  <c r="K42" i="20"/>
  <c r="M42" i="20"/>
  <c r="P42" i="20"/>
  <c r="Q42" i="20"/>
  <c r="R42" i="20"/>
  <c r="E43" i="20"/>
  <c r="G43" i="20"/>
  <c r="I43" i="20"/>
  <c r="K43" i="20"/>
  <c r="M43" i="20"/>
  <c r="P43" i="20"/>
  <c r="R43" i="20"/>
  <c r="E44" i="20"/>
  <c r="G44" i="20"/>
  <c r="I44" i="20"/>
  <c r="K44" i="20"/>
  <c r="M44" i="20"/>
  <c r="P44" i="20"/>
  <c r="R44" i="20"/>
  <c r="E45" i="20"/>
  <c r="G45" i="20"/>
  <c r="I45" i="20"/>
  <c r="K45" i="20"/>
  <c r="M45" i="20"/>
  <c r="P45" i="20"/>
  <c r="Q45" i="20"/>
  <c r="R45" i="20"/>
  <c r="E46" i="20"/>
  <c r="G46" i="20"/>
  <c r="H46" i="20"/>
  <c r="I46" i="20"/>
  <c r="K46" i="20"/>
  <c r="M46" i="20"/>
  <c r="P46" i="20"/>
  <c r="Q46" i="20"/>
  <c r="R46" i="20" s="1"/>
  <c r="D48" i="20"/>
  <c r="D12" i="19"/>
  <c r="F12" i="19"/>
  <c r="H12" i="19"/>
  <c r="J12" i="19"/>
  <c r="L12" i="19"/>
  <c r="O12" i="19"/>
  <c r="Q12" i="19"/>
  <c r="D11" i="19"/>
  <c r="F11" i="19"/>
  <c r="H11" i="19"/>
  <c r="J11" i="19"/>
  <c r="L11" i="19"/>
  <c r="O11" i="19"/>
  <c r="P11" i="19"/>
  <c r="D13" i="19"/>
  <c r="F13" i="19"/>
  <c r="H13" i="19"/>
  <c r="J13" i="19"/>
  <c r="L13" i="19"/>
  <c r="O13" i="19"/>
  <c r="P13" i="19"/>
  <c r="Q13" i="19" s="1"/>
  <c r="D14" i="19"/>
  <c r="F14" i="19"/>
  <c r="H14" i="19"/>
  <c r="J14" i="19"/>
  <c r="L14" i="19"/>
  <c r="O14" i="19"/>
  <c r="P14" i="19"/>
  <c r="Q14" i="19" s="1"/>
  <c r="D15" i="19"/>
  <c r="F15" i="19"/>
  <c r="H15" i="19"/>
  <c r="J15" i="19"/>
  <c r="L15" i="19"/>
  <c r="O15" i="19"/>
  <c r="P15" i="19"/>
  <c r="Q15" i="19" s="1"/>
  <c r="D16" i="19"/>
  <c r="F16" i="19"/>
  <c r="H16" i="19"/>
  <c r="J16" i="19"/>
  <c r="L16" i="19"/>
  <c r="O16" i="19"/>
  <c r="Q16" i="19"/>
  <c r="D17" i="19"/>
  <c r="F17" i="19"/>
  <c r="H17" i="19"/>
  <c r="J17" i="19"/>
  <c r="L17" i="19"/>
  <c r="O17" i="19"/>
  <c r="P17" i="19"/>
  <c r="Q17" i="19" s="1"/>
  <c r="D18" i="19"/>
  <c r="F18" i="19"/>
  <c r="H18" i="19"/>
  <c r="J18" i="19"/>
  <c r="L18" i="19"/>
  <c r="O18" i="19"/>
  <c r="P18" i="19"/>
  <c r="Q18" i="19" s="1"/>
  <c r="D19" i="19"/>
  <c r="F19" i="19"/>
  <c r="H19" i="19"/>
  <c r="J19" i="19"/>
  <c r="L19" i="19"/>
  <c r="O19" i="19"/>
  <c r="P19" i="19"/>
  <c r="Q19" i="19" s="1"/>
  <c r="D20" i="19"/>
  <c r="F20" i="19"/>
  <c r="H20" i="19"/>
  <c r="J20" i="19"/>
  <c r="L20" i="19"/>
  <c r="O20" i="19"/>
  <c r="Q20" i="19"/>
  <c r="D21" i="19"/>
  <c r="F21" i="19"/>
  <c r="H21" i="19"/>
  <c r="J21" i="19"/>
  <c r="L21" i="19"/>
  <c r="O21" i="19"/>
  <c r="P21" i="19"/>
  <c r="Q21" i="19"/>
  <c r="D22" i="19"/>
  <c r="F22" i="19"/>
  <c r="H22" i="19"/>
  <c r="J22" i="19"/>
  <c r="L22" i="19"/>
  <c r="O22" i="19"/>
  <c r="P22" i="19"/>
  <c r="Q22" i="19"/>
  <c r="D23" i="19"/>
  <c r="F23" i="19"/>
  <c r="H23" i="19"/>
  <c r="J23" i="19"/>
  <c r="L23" i="19"/>
  <c r="O23" i="19"/>
  <c r="Q23" i="19"/>
  <c r="D24" i="19"/>
  <c r="F24" i="19"/>
  <c r="H24" i="19"/>
  <c r="J24" i="19"/>
  <c r="L24" i="19"/>
  <c r="O24" i="19"/>
  <c r="P24" i="19"/>
  <c r="Q24" i="19" s="1"/>
  <c r="D25" i="19"/>
  <c r="F25" i="19"/>
  <c r="H25" i="19"/>
  <c r="J25" i="19"/>
  <c r="L25" i="19"/>
  <c r="O25" i="19"/>
  <c r="P25" i="19"/>
  <c r="Q25" i="19" s="1"/>
  <c r="D26" i="19"/>
  <c r="F26" i="19"/>
  <c r="H26" i="19"/>
  <c r="J26" i="19"/>
  <c r="L26" i="19"/>
  <c r="O26" i="19"/>
  <c r="Q26" i="19"/>
  <c r="D27" i="19"/>
  <c r="F27" i="19"/>
  <c r="H27" i="19"/>
  <c r="J27" i="19"/>
  <c r="L27" i="19"/>
  <c r="O27" i="19"/>
  <c r="Q27" i="19"/>
  <c r="D28" i="19"/>
  <c r="F28" i="19"/>
  <c r="H28" i="19"/>
  <c r="J28" i="19"/>
  <c r="L28" i="19"/>
  <c r="O28" i="19"/>
  <c r="P28" i="19"/>
  <c r="Q28" i="19" s="1"/>
  <c r="D29" i="19"/>
  <c r="F29" i="19"/>
  <c r="H29" i="19"/>
  <c r="J29" i="19"/>
  <c r="L29" i="19"/>
  <c r="O29" i="19"/>
  <c r="P29" i="19"/>
  <c r="Q29" i="19" s="1"/>
  <c r="D30" i="19"/>
  <c r="F30" i="19"/>
  <c r="H30" i="19"/>
  <c r="J30" i="19"/>
  <c r="L30" i="19"/>
  <c r="O30" i="19"/>
  <c r="P30" i="19"/>
  <c r="Q30" i="19" s="1"/>
  <c r="D31" i="19"/>
  <c r="F31" i="19"/>
  <c r="H31" i="19"/>
  <c r="J31" i="19"/>
  <c r="L31" i="19"/>
  <c r="O31" i="19"/>
  <c r="P31" i="19"/>
  <c r="Q31" i="19" s="1"/>
  <c r="D32" i="19"/>
  <c r="F32" i="19"/>
  <c r="H32" i="19"/>
  <c r="J32" i="19"/>
  <c r="L32" i="19"/>
  <c r="O32" i="19"/>
  <c r="P32" i="19"/>
  <c r="Q32" i="19" s="1"/>
  <c r="D33" i="19"/>
  <c r="F33" i="19"/>
  <c r="H33" i="19"/>
  <c r="J33" i="19"/>
  <c r="L33" i="19"/>
  <c r="O33" i="19"/>
  <c r="P33" i="19"/>
  <c r="Q33" i="19" s="1"/>
  <c r="D34" i="19"/>
  <c r="F34" i="19"/>
  <c r="H34" i="19"/>
  <c r="J34" i="19"/>
  <c r="L34" i="19"/>
  <c r="O34" i="19"/>
  <c r="Q34" i="19"/>
  <c r="D35" i="19"/>
  <c r="F35" i="19"/>
  <c r="H35" i="19"/>
  <c r="J35" i="19"/>
  <c r="L35" i="19"/>
  <c r="O35" i="19"/>
  <c r="P35" i="19"/>
  <c r="Q35" i="19"/>
  <c r="D36" i="19"/>
  <c r="F36" i="19"/>
  <c r="H36" i="19"/>
  <c r="J36" i="19"/>
  <c r="L36" i="19"/>
  <c r="O36" i="19"/>
  <c r="Q36" i="19"/>
  <c r="D37" i="19"/>
  <c r="F37" i="19"/>
  <c r="H37" i="19"/>
  <c r="J37" i="19"/>
  <c r="L37" i="19"/>
  <c r="O37" i="19"/>
  <c r="P37" i="19"/>
  <c r="Q37" i="19" s="1"/>
  <c r="D38" i="19"/>
  <c r="F38" i="19"/>
  <c r="H38" i="19"/>
  <c r="J38" i="19"/>
  <c r="L38" i="19"/>
  <c r="O38" i="19"/>
  <c r="P38" i="19"/>
  <c r="Q38" i="19" s="1"/>
  <c r="D39" i="19"/>
  <c r="F39" i="19"/>
  <c r="H39" i="19"/>
  <c r="J39" i="19"/>
  <c r="L39" i="19"/>
  <c r="O39" i="19"/>
  <c r="Q39" i="19"/>
  <c r="D40" i="19"/>
  <c r="F40" i="19"/>
  <c r="H40" i="19"/>
  <c r="J40" i="19"/>
  <c r="L40" i="19"/>
  <c r="O40" i="19"/>
  <c r="P40" i="19"/>
  <c r="Q40" i="19"/>
  <c r="D41" i="19"/>
  <c r="F41" i="19"/>
  <c r="H41" i="19"/>
  <c r="J41" i="19"/>
  <c r="L41" i="19"/>
  <c r="O41" i="19"/>
  <c r="P41" i="19"/>
  <c r="Q41" i="19"/>
  <c r="D42" i="19"/>
  <c r="F42" i="19"/>
  <c r="H42" i="19"/>
  <c r="J42" i="19"/>
  <c r="L42" i="19"/>
  <c r="O42" i="19"/>
  <c r="Q42" i="19"/>
  <c r="D43" i="19"/>
  <c r="F43" i="19"/>
  <c r="H43" i="19"/>
  <c r="J43" i="19"/>
  <c r="L43" i="19"/>
  <c r="O43" i="19"/>
  <c r="P43" i="19"/>
  <c r="Q43" i="19" s="1"/>
  <c r="D44" i="19"/>
  <c r="F44" i="19"/>
  <c r="H44" i="19"/>
  <c r="J44" i="19"/>
  <c r="L44" i="19"/>
  <c r="O44" i="19"/>
  <c r="Q44" i="19"/>
  <c r="D45" i="19"/>
  <c r="F45" i="19"/>
  <c r="H45" i="19"/>
  <c r="J45" i="19"/>
  <c r="L45" i="19"/>
  <c r="O45" i="19"/>
  <c r="P45" i="19"/>
  <c r="Q45" i="19" s="1"/>
  <c r="D46" i="19"/>
  <c r="F46" i="19"/>
  <c r="H46" i="19"/>
  <c r="J46" i="19"/>
  <c r="L46" i="19"/>
  <c r="O46" i="19"/>
  <c r="P46" i="19"/>
  <c r="Q46" i="19" s="1"/>
  <c r="C48" i="19"/>
  <c r="M52" i="7"/>
  <c r="M51" i="7"/>
  <c r="M50" i="7"/>
  <c r="N52" i="7"/>
  <c r="N51" i="7"/>
  <c r="N50" i="7"/>
  <c r="E52" i="7"/>
  <c r="E51" i="7"/>
  <c r="E50" i="7"/>
  <c r="B52" i="7"/>
  <c r="F52" i="7" s="1"/>
  <c r="B51" i="7"/>
  <c r="B50" i="7"/>
  <c r="M24" i="6"/>
  <c r="M20" i="6"/>
  <c r="M42" i="5"/>
  <c r="E51" i="3"/>
  <c r="F51" i="3" s="1"/>
  <c r="E50" i="3"/>
  <c r="E49" i="3"/>
  <c r="B51" i="3"/>
  <c r="E51" i="1"/>
  <c r="B51" i="1"/>
  <c r="E50" i="1"/>
  <c r="F50" i="1" s="1"/>
  <c r="B50" i="1"/>
  <c r="B49" i="1"/>
  <c r="F49" i="1" s="1"/>
  <c r="E49" i="1"/>
  <c r="K51" i="3"/>
  <c r="L51" i="3"/>
  <c r="K50" i="3"/>
  <c r="K49" i="3"/>
  <c r="B50" i="3"/>
  <c r="F50" i="3" s="1"/>
  <c r="L50" i="3"/>
  <c r="B49" i="3"/>
  <c r="L49" i="3"/>
  <c r="M49" i="3" s="1"/>
  <c r="M46" i="3"/>
  <c r="M45" i="3"/>
  <c r="M44" i="3"/>
  <c r="M43" i="3"/>
  <c r="M42" i="3"/>
  <c r="M16" i="3"/>
  <c r="M41" i="3"/>
  <c r="M40" i="3"/>
  <c r="M39" i="3"/>
  <c r="M38" i="3"/>
  <c r="M37" i="3"/>
  <c r="M35" i="3"/>
  <c r="M36" i="3"/>
  <c r="M34" i="3"/>
  <c r="M33" i="3"/>
  <c r="M32" i="3"/>
  <c r="M30" i="3"/>
  <c r="M29" i="3"/>
  <c r="M31" i="3"/>
  <c r="M28" i="3"/>
  <c r="M26" i="3"/>
  <c r="M25" i="3"/>
  <c r="M24" i="3"/>
  <c r="M23" i="3"/>
  <c r="M22" i="3"/>
  <c r="M21" i="3"/>
  <c r="M20" i="3"/>
  <c r="M27" i="3"/>
  <c r="M19" i="3"/>
  <c r="M18" i="3"/>
  <c r="M17" i="3"/>
  <c r="M15" i="3"/>
  <c r="M14" i="3"/>
  <c r="M13" i="3"/>
  <c r="M54" i="3"/>
  <c r="M12" i="3"/>
  <c r="M11" i="3"/>
  <c r="O33" i="1"/>
  <c r="O18" i="1"/>
  <c r="O15" i="1"/>
  <c r="O46" i="1"/>
  <c r="O45" i="1"/>
  <c r="O44" i="1"/>
  <c r="O43" i="1"/>
  <c r="O42" i="1"/>
  <c r="O40" i="1"/>
  <c r="O39" i="1"/>
  <c r="O38" i="1"/>
  <c r="O37" i="1"/>
  <c r="O36" i="1"/>
  <c r="O35" i="1"/>
  <c r="O34" i="1"/>
  <c r="O32" i="1"/>
  <c r="O30" i="1"/>
  <c r="O29" i="1"/>
  <c r="O28" i="1"/>
  <c r="O31" i="1"/>
  <c r="O27" i="1"/>
  <c r="O25" i="1"/>
  <c r="O26" i="1"/>
  <c r="O24" i="1"/>
  <c r="O22" i="1"/>
  <c r="O21" i="1"/>
  <c r="O20" i="1"/>
  <c r="O23" i="1"/>
  <c r="O19" i="1"/>
  <c r="O17" i="1"/>
  <c r="O16" i="1"/>
  <c r="O14" i="1"/>
  <c r="O13" i="1"/>
  <c r="O11" i="1"/>
  <c r="O12" i="1"/>
  <c r="L33" i="1"/>
  <c r="L18" i="1"/>
  <c r="L15" i="1"/>
  <c r="L46" i="1"/>
  <c r="L45" i="1"/>
  <c r="L44" i="1"/>
  <c r="L43" i="1"/>
  <c r="L42" i="1"/>
  <c r="L40" i="1"/>
  <c r="L39" i="1"/>
  <c r="L38" i="1"/>
  <c r="L37" i="1"/>
  <c r="L36" i="1"/>
  <c r="L35" i="1"/>
  <c r="L34" i="1"/>
  <c r="L32" i="1"/>
  <c r="L30" i="1"/>
  <c r="L29" i="1"/>
  <c r="L28" i="1"/>
  <c r="L31" i="1"/>
  <c r="L27" i="1"/>
  <c r="L25" i="1"/>
  <c r="L26" i="1"/>
  <c r="L24" i="1"/>
  <c r="L22" i="1"/>
  <c r="L21" i="1"/>
  <c r="L20" i="1"/>
  <c r="L23" i="1"/>
  <c r="L19" i="1"/>
  <c r="L17" i="1"/>
  <c r="L16" i="1"/>
  <c r="L14" i="1"/>
  <c r="L13" i="1"/>
  <c r="L11" i="1"/>
  <c r="L12" i="1"/>
  <c r="J33" i="1"/>
  <c r="J18" i="1"/>
  <c r="J15" i="1"/>
  <c r="J46" i="1"/>
  <c r="J45" i="1"/>
  <c r="J44" i="1"/>
  <c r="J43" i="1"/>
  <c r="J42" i="1"/>
  <c r="J40" i="1"/>
  <c r="J39" i="1"/>
  <c r="J38" i="1"/>
  <c r="J37" i="1"/>
  <c r="J36" i="1"/>
  <c r="J35" i="1"/>
  <c r="J34" i="1"/>
  <c r="J32" i="1"/>
  <c r="J30" i="1"/>
  <c r="J29" i="1"/>
  <c r="J28" i="1"/>
  <c r="J31" i="1"/>
  <c r="J27" i="1"/>
  <c r="J25" i="1"/>
  <c r="J26" i="1"/>
  <c r="J24" i="1"/>
  <c r="J22" i="1"/>
  <c r="J21" i="1"/>
  <c r="J20" i="1"/>
  <c r="J23" i="1"/>
  <c r="J19" i="1"/>
  <c r="J17" i="1"/>
  <c r="J16" i="1"/>
  <c r="J14" i="1"/>
  <c r="J13" i="1"/>
  <c r="J11" i="1"/>
  <c r="J12" i="1"/>
  <c r="H33" i="1"/>
  <c r="H18" i="1"/>
  <c r="H15" i="1"/>
  <c r="H46" i="1"/>
  <c r="H45" i="1"/>
  <c r="H44" i="1"/>
  <c r="H43" i="1"/>
  <c r="H42" i="1"/>
  <c r="H40" i="1"/>
  <c r="H39" i="1"/>
  <c r="H38" i="1"/>
  <c r="H37" i="1"/>
  <c r="H36" i="1"/>
  <c r="H35" i="1"/>
  <c r="H34" i="1"/>
  <c r="H32" i="1"/>
  <c r="H30" i="1"/>
  <c r="H29" i="1"/>
  <c r="H28" i="1"/>
  <c r="H31" i="1"/>
  <c r="H27" i="1"/>
  <c r="H25" i="1"/>
  <c r="H26" i="1"/>
  <c r="H24" i="1"/>
  <c r="H22" i="1"/>
  <c r="H21" i="1"/>
  <c r="H20" i="1"/>
  <c r="H23" i="1"/>
  <c r="H19" i="1"/>
  <c r="H17" i="1"/>
  <c r="H16" i="1"/>
  <c r="H14" i="1"/>
  <c r="H13" i="1"/>
  <c r="H11" i="1"/>
  <c r="H12" i="1"/>
  <c r="F33" i="1"/>
  <c r="F18" i="1"/>
  <c r="F15" i="1"/>
  <c r="F46" i="1"/>
  <c r="F45" i="1"/>
  <c r="F44" i="1"/>
  <c r="F43" i="1"/>
  <c r="F42" i="1"/>
  <c r="F40" i="1"/>
  <c r="F39" i="1"/>
  <c r="F38" i="1"/>
  <c r="F37" i="1"/>
  <c r="F36" i="1"/>
  <c r="F35" i="1"/>
  <c r="F34" i="1"/>
  <c r="F32" i="1"/>
  <c r="F30" i="1"/>
  <c r="F29" i="1"/>
  <c r="F28" i="1"/>
  <c r="F31" i="1"/>
  <c r="F27" i="1"/>
  <c r="F25" i="1"/>
  <c r="F26" i="1"/>
  <c r="F24" i="1"/>
  <c r="F22" i="1"/>
  <c r="F21" i="1"/>
  <c r="F20" i="1"/>
  <c r="F23" i="1"/>
  <c r="F19" i="1"/>
  <c r="F17" i="1"/>
  <c r="F16" i="1"/>
  <c r="F14" i="1"/>
  <c r="F13" i="1"/>
  <c r="F11" i="1"/>
  <c r="F12" i="1"/>
  <c r="D33" i="1"/>
  <c r="D18" i="1"/>
  <c r="D15" i="1"/>
  <c r="D46" i="1"/>
  <c r="D45" i="1"/>
  <c r="D44" i="1"/>
  <c r="D43" i="1"/>
  <c r="D42" i="1"/>
  <c r="D40" i="1"/>
  <c r="D39" i="1"/>
  <c r="D38" i="1"/>
  <c r="D37" i="1"/>
  <c r="D36" i="1"/>
  <c r="D35" i="1"/>
  <c r="D34" i="1"/>
  <c r="D32" i="1"/>
  <c r="D30" i="1"/>
  <c r="D29" i="1"/>
  <c r="D28" i="1"/>
  <c r="D31" i="1"/>
  <c r="D27" i="1"/>
  <c r="D25" i="1"/>
  <c r="D26" i="1"/>
  <c r="D24" i="1"/>
  <c r="D22" i="1"/>
  <c r="D21" i="1"/>
  <c r="D20" i="1"/>
  <c r="D23" i="1"/>
  <c r="D19" i="1"/>
  <c r="D17" i="1"/>
  <c r="D16" i="1"/>
  <c r="D14" i="1"/>
  <c r="D13" i="1"/>
  <c r="D11" i="1"/>
  <c r="D12" i="1"/>
  <c r="D12" i="13"/>
  <c r="F12" i="13"/>
  <c r="H12" i="13"/>
  <c r="J12" i="13"/>
  <c r="L12" i="13"/>
  <c r="O12" i="13"/>
  <c r="D11" i="13"/>
  <c r="F11" i="13"/>
  <c r="H11" i="13"/>
  <c r="J11" i="13"/>
  <c r="L11" i="13"/>
  <c r="O11" i="13"/>
  <c r="D13" i="13"/>
  <c r="F13" i="13"/>
  <c r="H13" i="13"/>
  <c r="J13" i="13"/>
  <c r="L13" i="13"/>
  <c r="O13" i="13"/>
  <c r="D14" i="13"/>
  <c r="F14" i="13"/>
  <c r="H14" i="13"/>
  <c r="J14" i="13"/>
  <c r="L14" i="13"/>
  <c r="O14" i="13"/>
  <c r="D15" i="13"/>
  <c r="F15" i="13"/>
  <c r="H15" i="13"/>
  <c r="J15" i="13"/>
  <c r="L15" i="13"/>
  <c r="O15" i="13"/>
  <c r="D16" i="13"/>
  <c r="F16" i="13"/>
  <c r="H16" i="13"/>
  <c r="J16" i="13"/>
  <c r="L16" i="13"/>
  <c r="O16" i="13"/>
  <c r="D17" i="13"/>
  <c r="F17" i="13"/>
  <c r="H17" i="13"/>
  <c r="J17" i="13"/>
  <c r="L17" i="13"/>
  <c r="O17" i="13"/>
  <c r="D18" i="13"/>
  <c r="F18" i="13"/>
  <c r="H18" i="13"/>
  <c r="J18" i="13"/>
  <c r="L18" i="13"/>
  <c r="O18" i="13"/>
  <c r="D19" i="13"/>
  <c r="F19" i="13"/>
  <c r="H19" i="13"/>
  <c r="J19" i="13"/>
  <c r="L19" i="13"/>
  <c r="O19" i="13"/>
  <c r="D20" i="13"/>
  <c r="F20" i="13"/>
  <c r="H20" i="13"/>
  <c r="J20" i="13"/>
  <c r="L20" i="13"/>
  <c r="O20" i="13"/>
  <c r="D21" i="13"/>
  <c r="F21" i="13"/>
  <c r="H21" i="13"/>
  <c r="J21" i="13"/>
  <c r="L21" i="13"/>
  <c r="O21" i="13"/>
  <c r="D22" i="13"/>
  <c r="F22" i="13"/>
  <c r="H22" i="13"/>
  <c r="J22" i="13"/>
  <c r="L22" i="13"/>
  <c r="O22" i="13"/>
  <c r="D23" i="13"/>
  <c r="F23" i="13"/>
  <c r="H23" i="13"/>
  <c r="J23" i="13"/>
  <c r="L23" i="13"/>
  <c r="O23" i="13"/>
  <c r="D24" i="13"/>
  <c r="F24" i="13"/>
  <c r="H24" i="13"/>
  <c r="J24" i="13"/>
  <c r="L24" i="13"/>
  <c r="O24" i="13"/>
  <c r="D25" i="13"/>
  <c r="F25" i="13"/>
  <c r="H25" i="13"/>
  <c r="J25" i="13"/>
  <c r="L25" i="13"/>
  <c r="O25" i="13"/>
  <c r="D26" i="13"/>
  <c r="F26" i="13"/>
  <c r="H26" i="13"/>
  <c r="J26" i="13"/>
  <c r="L26" i="13"/>
  <c r="O26" i="13"/>
  <c r="D27" i="13"/>
  <c r="F27" i="13"/>
  <c r="H27" i="13"/>
  <c r="J27" i="13"/>
  <c r="L27" i="13"/>
  <c r="O27" i="13"/>
  <c r="D28" i="13"/>
  <c r="F28" i="13"/>
  <c r="H28" i="13"/>
  <c r="J28" i="13"/>
  <c r="L28" i="13"/>
  <c r="O28" i="13"/>
  <c r="D31" i="13"/>
  <c r="F31" i="13"/>
  <c r="H31" i="13"/>
  <c r="J31" i="13"/>
  <c r="L31" i="13"/>
  <c r="O31" i="13"/>
  <c r="D29" i="13"/>
  <c r="F29" i="13"/>
  <c r="H29" i="13"/>
  <c r="J29" i="13"/>
  <c r="L29" i="13"/>
  <c r="O29" i="13"/>
  <c r="D30" i="13"/>
  <c r="F30" i="13"/>
  <c r="H30" i="13"/>
  <c r="J30" i="13"/>
  <c r="L30" i="13"/>
  <c r="O30" i="13"/>
  <c r="D32" i="13"/>
  <c r="F32" i="13"/>
  <c r="H32" i="13"/>
  <c r="J32" i="13"/>
  <c r="L32" i="13"/>
  <c r="O32" i="13"/>
  <c r="D33" i="13"/>
  <c r="F33" i="13"/>
  <c r="H33" i="13"/>
  <c r="J33" i="13"/>
  <c r="L33" i="13"/>
  <c r="O33" i="13"/>
  <c r="D34" i="13"/>
  <c r="F34" i="13"/>
  <c r="H34" i="13"/>
  <c r="J34" i="13"/>
  <c r="L34" i="13"/>
  <c r="O34" i="13"/>
  <c r="D35" i="13"/>
  <c r="F35" i="13"/>
  <c r="H35" i="13"/>
  <c r="J35" i="13"/>
  <c r="L35" i="13"/>
  <c r="O35" i="13"/>
  <c r="D36" i="13"/>
  <c r="F36" i="13"/>
  <c r="H36" i="13"/>
  <c r="J36" i="13"/>
  <c r="L36" i="13"/>
  <c r="O36" i="13"/>
  <c r="D37" i="13"/>
  <c r="F37" i="13"/>
  <c r="H37" i="13"/>
  <c r="J37" i="13"/>
  <c r="L37" i="13"/>
  <c r="O37" i="13"/>
  <c r="D38" i="13"/>
  <c r="F38" i="13"/>
  <c r="H38" i="13"/>
  <c r="J38" i="13"/>
  <c r="L38" i="13"/>
  <c r="O38" i="13"/>
  <c r="D39" i="13"/>
  <c r="F39" i="13"/>
  <c r="H39" i="13"/>
  <c r="J39" i="13"/>
  <c r="L39" i="13"/>
  <c r="O39" i="13"/>
  <c r="D40" i="13"/>
  <c r="F40" i="13"/>
  <c r="H40" i="13"/>
  <c r="J40" i="13"/>
  <c r="L40" i="13"/>
  <c r="O40" i="13"/>
  <c r="D41" i="13"/>
  <c r="F41" i="13"/>
  <c r="H41" i="13"/>
  <c r="J41" i="13"/>
  <c r="L41" i="13"/>
  <c r="O41" i="13"/>
  <c r="D42" i="13"/>
  <c r="F42" i="13"/>
  <c r="H42" i="13"/>
  <c r="J42" i="13"/>
  <c r="L42" i="13"/>
  <c r="O42" i="13"/>
  <c r="D43" i="13"/>
  <c r="F43" i="13"/>
  <c r="H43" i="13"/>
  <c r="J43" i="13"/>
  <c r="L43" i="13"/>
  <c r="O43" i="13"/>
  <c r="D44" i="13"/>
  <c r="F44" i="13"/>
  <c r="H44" i="13"/>
  <c r="J44" i="13"/>
  <c r="L44" i="13"/>
  <c r="O44" i="13"/>
  <c r="D45" i="13"/>
  <c r="F45" i="13"/>
  <c r="H45" i="13"/>
  <c r="J45" i="13"/>
  <c r="L45" i="13"/>
  <c r="O45" i="13"/>
  <c r="D46" i="13"/>
  <c r="F46" i="13"/>
  <c r="H46" i="13"/>
  <c r="J46" i="13"/>
  <c r="L46" i="13"/>
  <c r="O46" i="13"/>
  <c r="F47" i="13"/>
  <c r="L47" i="13"/>
  <c r="C48" i="13"/>
  <c r="O46" i="12"/>
  <c r="L46" i="12"/>
  <c r="J46" i="12"/>
  <c r="H46" i="12"/>
  <c r="F46" i="12"/>
  <c r="D46" i="12"/>
  <c r="O45" i="12"/>
  <c r="L45" i="12"/>
  <c r="J45" i="12"/>
  <c r="H45" i="12"/>
  <c r="F45" i="12"/>
  <c r="D45" i="12"/>
  <c r="O44" i="12"/>
  <c r="L44" i="12"/>
  <c r="J44" i="12"/>
  <c r="H44" i="12"/>
  <c r="F44" i="12"/>
  <c r="D44" i="12"/>
  <c r="O43" i="12"/>
  <c r="L43" i="12"/>
  <c r="J43" i="12"/>
  <c r="H43" i="12"/>
  <c r="F43" i="12"/>
  <c r="D43" i="12"/>
  <c r="O42" i="12"/>
  <c r="L42" i="12"/>
  <c r="J42" i="12"/>
  <c r="H42" i="12"/>
  <c r="F42" i="12"/>
  <c r="D42" i="12"/>
  <c r="O41" i="12"/>
  <c r="L41" i="12"/>
  <c r="J41" i="12"/>
  <c r="H41" i="12"/>
  <c r="F41" i="12"/>
  <c r="D41" i="12"/>
  <c r="O40" i="12"/>
  <c r="L40" i="12"/>
  <c r="J40" i="12"/>
  <c r="H40" i="12"/>
  <c r="F40" i="12"/>
  <c r="D40" i="12"/>
  <c r="O39" i="12"/>
  <c r="L39" i="12"/>
  <c r="J39" i="12"/>
  <c r="H39" i="12"/>
  <c r="F39" i="12"/>
  <c r="D39" i="12"/>
  <c r="O38" i="12"/>
  <c r="L38" i="12"/>
  <c r="J38" i="12"/>
  <c r="H38" i="12"/>
  <c r="F38" i="12"/>
  <c r="D38" i="12"/>
  <c r="O37" i="12"/>
  <c r="L37" i="12"/>
  <c r="J37" i="12"/>
  <c r="H37" i="12"/>
  <c r="F37" i="12"/>
  <c r="D37" i="12"/>
  <c r="O36" i="12"/>
  <c r="L36" i="12"/>
  <c r="J36" i="12"/>
  <c r="H36" i="12"/>
  <c r="F36" i="12"/>
  <c r="D36" i="12"/>
  <c r="O35" i="12"/>
  <c r="L35" i="12"/>
  <c r="J35" i="12"/>
  <c r="H35" i="12"/>
  <c r="F35" i="12"/>
  <c r="D35" i="12"/>
  <c r="O34" i="12"/>
  <c r="L34" i="12"/>
  <c r="J34" i="12"/>
  <c r="H34" i="12"/>
  <c r="F34" i="12"/>
  <c r="D34" i="12"/>
  <c r="O33" i="12"/>
  <c r="L33" i="12"/>
  <c r="J33" i="12"/>
  <c r="H33" i="12"/>
  <c r="F33" i="12"/>
  <c r="D33" i="12"/>
  <c r="O32" i="12"/>
  <c r="L32" i="12"/>
  <c r="J32" i="12"/>
  <c r="H32" i="12"/>
  <c r="F32" i="12"/>
  <c r="D32" i="12"/>
  <c r="O30" i="12"/>
  <c r="L30" i="12"/>
  <c r="J30" i="12"/>
  <c r="H30" i="12"/>
  <c r="F30" i="12"/>
  <c r="D30" i="12"/>
  <c r="O29" i="12"/>
  <c r="L29" i="12"/>
  <c r="J29" i="12"/>
  <c r="H29" i="12"/>
  <c r="F29" i="12"/>
  <c r="D29" i="12"/>
  <c r="O31" i="12"/>
  <c r="L31" i="12"/>
  <c r="J31" i="12"/>
  <c r="H31" i="12"/>
  <c r="F31" i="12"/>
  <c r="D31" i="12"/>
  <c r="O28" i="12"/>
  <c r="L28" i="12"/>
  <c r="J28" i="12"/>
  <c r="H28" i="12"/>
  <c r="F28" i="12"/>
  <c r="D28" i="12"/>
  <c r="O27" i="12"/>
  <c r="L27" i="12"/>
  <c r="J27" i="12"/>
  <c r="H27" i="12"/>
  <c r="F27" i="12"/>
  <c r="D27" i="12"/>
  <c r="O26" i="12"/>
  <c r="L26" i="12"/>
  <c r="J26" i="12"/>
  <c r="H26" i="12"/>
  <c r="F26" i="12"/>
  <c r="D26" i="12"/>
  <c r="O25" i="12"/>
  <c r="L25" i="12"/>
  <c r="J25" i="12"/>
  <c r="H25" i="12"/>
  <c r="F25" i="12"/>
  <c r="D25" i="12"/>
  <c r="O24" i="12"/>
  <c r="L24" i="12"/>
  <c r="J24" i="12"/>
  <c r="H24" i="12"/>
  <c r="F24" i="12"/>
  <c r="D24" i="12"/>
  <c r="O23" i="12"/>
  <c r="L23" i="12"/>
  <c r="J23" i="12"/>
  <c r="H23" i="12"/>
  <c r="F23" i="12"/>
  <c r="D23" i="12"/>
  <c r="O22" i="12"/>
  <c r="L22" i="12"/>
  <c r="J22" i="12"/>
  <c r="H22" i="12"/>
  <c r="F22" i="12"/>
  <c r="D22" i="12"/>
  <c r="O21" i="12"/>
  <c r="L21" i="12"/>
  <c r="J21" i="12"/>
  <c r="H21" i="12"/>
  <c r="F21" i="12"/>
  <c r="D21" i="12"/>
  <c r="O20" i="12"/>
  <c r="L20" i="12"/>
  <c r="J20" i="12"/>
  <c r="H20" i="12"/>
  <c r="F20" i="12"/>
  <c r="D20" i="12"/>
  <c r="O19" i="12"/>
  <c r="L19" i="12"/>
  <c r="J19" i="12"/>
  <c r="H19" i="12"/>
  <c r="F19" i="12"/>
  <c r="D19" i="12"/>
  <c r="O18" i="12"/>
  <c r="L18" i="12"/>
  <c r="J18" i="12"/>
  <c r="H18" i="12"/>
  <c r="F18" i="12"/>
  <c r="D18" i="12"/>
  <c r="O17" i="12"/>
  <c r="L17" i="12"/>
  <c r="J17" i="12"/>
  <c r="H17" i="12"/>
  <c r="F17" i="12"/>
  <c r="D17" i="12"/>
  <c r="O16" i="12"/>
  <c r="L16" i="12"/>
  <c r="J16" i="12"/>
  <c r="H16" i="12"/>
  <c r="F16" i="12"/>
  <c r="D16" i="12"/>
  <c r="O15" i="12"/>
  <c r="L15" i="12"/>
  <c r="J15" i="12"/>
  <c r="H15" i="12"/>
  <c r="F15" i="12"/>
  <c r="D15" i="12"/>
  <c r="O14" i="12"/>
  <c r="L14" i="12"/>
  <c r="J14" i="12"/>
  <c r="H14" i="12"/>
  <c r="F14" i="12"/>
  <c r="D14" i="12"/>
  <c r="O13" i="12"/>
  <c r="L13" i="12"/>
  <c r="J13" i="12"/>
  <c r="H13" i="12"/>
  <c r="F13" i="12"/>
  <c r="D13" i="12"/>
  <c r="O11" i="12"/>
  <c r="L11" i="12"/>
  <c r="J11" i="12"/>
  <c r="H11" i="12"/>
  <c r="F11" i="12"/>
  <c r="D11" i="12"/>
  <c r="O12" i="12"/>
  <c r="L12" i="12"/>
  <c r="J12" i="12"/>
  <c r="H12" i="12"/>
  <c r="F12" i="12"/>
  <c r="D12" i="12"/>
  <c r="N47" i="11"/>
  <c r="M47" i="11"/>
  <c r="K47" i="11"/>
  <c r="L47" i="11" s="1"/>
  <c r="B47" i="11"/>
  <c r="I47" i="11"/>
  <c r="G47" i="11"/>
  <c r="E47" i="11"/>
  <c r="C47" i="11"/>
  <c r="O46" i="11"/>
  <c r="L46" i="11"/>
  <c r="J46" i="11"/>
  <c r="H46" i="11"/>
  <c r="F46" i="11"/>
  <c r="D46" i="11"/>
  <c r="O45" i="11"/>
  <c r="L45" i="11"/>
  <c r="J45" i="11"/>
  <c r="H45" i="11"/>
  <c r="F45" i="11"/>
  <c r="D45" i="11"/>
  <c r="O44" i="11"/>
  <c r="L44" i="11"/>
  <c r="J44" i="11"/>
  <c r="H44" i="11"/>
  <c r="F44" i="11"/>
  <c r="D44" i="11"/>
  <c r="O43" i="11"/>
  <c r="L43" i="11"/>
  <c r="J43" i="11"/>
  <c r="H43" i="11"/>
  <c r="F43" i="11"/>
  <c r="D43" i="11"/>
  <c r="O42" i="11"/>
  <c r="L42" i="11"/>
  <c r="J42" i="11"/>
  <c r="H42" i="11"/>
  <c r="F42" i="11"/>
  <c r="D42" i="11"/>
  <c r="O41" i="11"/>
  <c r="L41" i="11"/>
  <c r="J41" i="11"/>
  <c r="H41" i="11"/>
  <c r="F41" i="11"/>
  <c r="D41" i="11"/>
  <c r="O33" i="11"/>
  <c r="L33" i="11"/>
  <c r="J33" i="11"/>
  <c r="H33" i="11"/>
  <c r="F33" i="11"/>
  <c r="D33" i="11"/>
  <c r="O40" i="11"/>
  <c r="L40" i="11"/>
  <c r="J40" i="11"/>
  <c r="H40" i="11"/>
  <c r="F40" i="11"/>
  <c r="D40" i="11"/>
  <c r="O39" i="11"/>
  <c r="L39" i="11"/>
  <c r="J39" i="11"/>
  <c r="H39" i="11"/>
  <c r="F39" i="11"/>
  <c r="D39" i="11"/>
  <c r="O38" i="11"/>
  <c r="L38" i="11"/>
  <c r="J38" i="11"/>
  <c r="H38" i="11"/>
  <c r="F38" i="11"/>
  <c r="D38" i="11"/>
  <c r="O37" i="11"/>
  <c r="L37" i="11"/>
  <c r="J37" i="11"/>
  <c r="H37" i="11"/>
  <c r="F37" i="11"/>
  <c r="D37" i="11"/>
  <c r="O36" i="11"/>
  <c r="L36" i="11"/>
  <c r="J36" i="11"/>
  <c r="H36" i="11"/>
  <c r="F36" i="11"/>
  <c r="D36" i="11"/>
  <c r="O35" i="11"/>
  <c r="L35" i="11"/>
  <c r="J35" i="11"/>
  <c r="H35" i="11"/>
  <c r="F35" i="11"/>
  <c r="D35" i="11"/>
  <c r="O34" i="11"/>
  <c r="L34" i="11"/>
  <c r="J34" i="11"/>
  <c r="H34" i="11"/>
  <c r="F34" i="11"/>
  <c r="D34" i="11"/>
  <c r="O32" i="11"/>
  <c r="L32" i="11"/>
  <c r="J32" i="11"/>
  <c r="H32" i="11"/>
  <c r="F32" i="11"/>
  <c r="D32" i="11"/>
  <c r="O31" i="11"/>
  <c r="L31" i="11"/>
  <c r="J31" i="11"/>
  <c r="H31" i="11"/>
  <c r="F31" i="11"/>
  <c r="D31" i="11"/>
  <c r="O30" i="11"/>
  <c r="L30" i="11"/>
  <c r="J30" i="11"/>
  <c r="H30" i="11"/>
  <c r="F30" i="11"/>
  <c r="D30" i="11"/>
  <c r="O29" i="11"/>
  <c r="L29" i="11"/>
  <c r="J29" i="11"/>
  <c r="H29" i="11"/>
  <c r="F29" i="11"/>
  <c r="D29" i="11"/>
  <c r="O28" i="11"/>
  <c r="L28" i="11"/>
  <c r="J28" i="11"/>
  <c r="H28" i="11"/>
  <c r="F28" i="11"/>
  <c r="D28" i="11"/>
  <c r="O27" i="11"/>
  <c r="L27" i="11"/>
  <c r="J27" i="11"/>
  <c r="H27" i="11"/>
  <c r="F27" i="11"/>
  <c r="D27" i="11"/>
  <c r="O26" i="11"/>
  <c r="L26" i="11"/>
  <c r="J26" i="11"/>
  <c r="H26" i="11"/>
  <c r="F26" i="11"/>
  <c r="D26" i="11"/>
  <c r="O25" i="11"/>
  <c r="L25" i="11"/>
  <c r="J25" i="11"/>
  <c r="H25" i="11"/>
  <c r="F25" i="11"/>
  <c r="D25" i="11"/>
  <c r="O24" i="11"/>
  <c r="L24" i="11"/>
  <c r="J24" i="11"/>
  <c r="H24" i="11"/>
  <c r="F24" i="11"/>
  <c r="D24" i="11"/>
  <c r="O23" i="11"/>
  <c r="L23" i="11"/>
  <c r="J23" i="11"/>
  <c r="H23" i="11"/>
  <c r="F23" i="11"/>
  <c r="D23" i="11"/>
  <c r="O22" i="11"/>
  <c r="L22" i="11"/>
  <c r="J22" i="11"/>
  <c r="H22" i="11"/>
  <c r="F22" i="11"/>
  <c r="D22" i="11"/>
  <c r="O21" i="11"/>
  <c r="L21" i="11"/>
  <c r="J21" i="11"/>
  <c r="H21" i="11"/>
  <c r="F21" i="11"/>
  <c r="D21" i="11"/>
  <c r="O20" i="11"/>
  <c r="L20" i="11"/>
  <c r="J20" i="11"/>
  <c r="H20" i="11"/>
  <c r="F20" i="11"/>
  <c r="D20" i="11"/>
  <c r="O19" i="11"/>
  <c r="L19" i="11"/>
  <c r="J19" i="11"/>
  <c r="H19" i="11"/>
  <c r="F19" i="11"/>
  <c r="D19" i="11"/>
  <c r="O18" i="11"/>
  <c r="L18" i="11"/>
  <c r="J18" i="11"/>
  <c r="H18" i="11"/>
  <c r="F18" i="11"/>
  <c r="D18" i="11"/>
  <c r="O17" i="11"/>
  <c r="L17" i="11"/>
  <c r="J17" i="11"/>
  <c r="H17" i="11"/>
  <c r="F17" i="11"/>
  <c r="D17" i="11"/>
  <c r="O16" i="11"/>
  <c r="L16" i="11"/>
  <c r="J16" i="11"/>
  <c r="H16" i="11"/>
  <c r="F16" i="11"/>
  <c r="D16" i="11"/>
  <c r="O15" i="11"/>
  <c r="L15" i="11"/>
  <c r="J15" i="11"/>
  <c r="H15" i="11"/>
  <c r="F15" i="11"/>
  <c r="D15" i="11"/>
  <c r="O14" i="11"/>
  <c r="L14" i="11"/>
  <c r="J14" i="11"/>
  <c r="H14" i="11"/>
  <c r="F14" i="11"/>
  <c r="D14" i="11"/>
  <c r="O13" i="11"/>
  <c r="L13" i="11"/>
  <c r="J13" i="11"/>
  <c r="H13" i="11"/>
  <c r="F13" i="11"/>
  <c r="D13" i="11"/>
  <c r="O12" i="11"/>
  <c r="L12" i="11"/>
  <c r="J12" i="11"/>
  <c r="H12" i="11"/>
  <c r="F12" i="11"/>
  <c r="D12" i="11"/>
  <c r="O11" i="11"/>
  <c r="L11" i="11"/>
  <c r="J11" i="11"/>
  <c r="H11" i="11"/>
  <c r="F11" i="11"/>
  <c r="D11" i="11"/>
  <c r="C48" i="10"/>
  <c r="O46" i="10"/>
  <c r="L46" i="10"/>
  <c r="J46" i="10"/>
  <c r="H46" i="10"/>
  <c r="F46" i="10"/>
  <c r="D46" i="10"/>
  <c r="O45" i="10"/>
  <c r="L45" i="10"/>
  <c r="J45" i="10"/>
  <c r="F45" i="10"/>
  <c r="D45" i="10"/>
  <c r="O44" i="10"/>
  <c r="L44" i="10"/>
  <c r="J44" i="10"/>
  <c r="H44" i="10"/>
  <c r="F44" i="10"/>
  <c r="D44" i="10"/>
  <c r="O43" i="10"/>
  <c r="L43" i="10"/>
  <c r="J43" i="10"/>
  <c r="H43" i="10"/>
  <c r="F43" i="10"/>
  <c r="D43" i="10"/>
  <c r="O42" i="10"/>
  <c r="L42" i="10"/>
  <c r="J42" i="10"/>
  <c r="H42" i="10"/>
  <c r="F42" i="10"/>
  <c r="D42" i="10"/>
  <c r="O41" i="10"/>
  <c r="L41" i="10"/>
  <c r="J41" i="10"/>
  <c r="H41" i="10"/>
  <c r="F41" i="10"/>
  <c r="D41" i="10"/>
  <c r="O40" i="10"/>
  <c r="L40" i="10"/>
  <c r="J40" i="10"/>
  <c r="H40" i="10"/>
  <c r="F40" i="10"/>
  <c r="D40" i="10"/>
  <c r="O39" i="10"/>
  <c r="L39" i="10"/>
  <c r="J39" i="10"/>
  <c r="H39" i="10"/>
  <c r="F39" i="10"/>
  <c r="D39" i="10"/>
  <c r="O38" i="10"/>
  <c r="L38" i="10"/>
  <c r="J38" i="10"/>
  <c r="H38" i="10"/>
  <c r="F38" i="10"/>
  <c r="D38" i="10"/>
  <c r="O37" i="10"/>
  <c r="L37" i="10"/>
  <c r="J37" i="10"/>
  <c r="H37" i="10"/>
  <c r="F37" i="10"/>
  <c r="D37" i="10"/>
  <c r="O36" i="10"/>
  <c r="L36" i="10"/>
  <c r="J36" i="10"/>
  <c r="H36" i="10"/>
  <c r="F36" i="10"/>
  <c r="D36" i="10"/>
  <c r="O35" i="10"/>
  <c r="L35" i="10"/>
  <c r="J35" i="10"/>
  <c r="H35" i="10"/>
  <c r="F35" i="10"/>
  <c r="D35" i="10"/>
  <c r="O34" i="10"/>
  <c r="L34" i="10"/>
  <c r="J34" i="10"/>
  <c r="H34" i="10"/>
  <c r="F34" i="10"/>
  <c r="D34" i="10"/>
  <c r="O33" i="10"/>
  <c r="L33" i="10"/>
  <c r="J33" i="10"/>
  <c r="H33" i="10"/>
  <c r="F33" i="10"/>
  <c r="D33" i="10"/>
  <c r="O32" i="10"/>
  <c r="L32" i="10"/>
  <c r="J32" i="10"/>
  <c r="H32" i="10"/>
  <c r="F32" i="10"/>
  <c r="D32" i="10"/>
  <c r="O30" i="10"/>
  <c r="L30" i="10"/>
  <c r="J30" i="10"/>
  <c r="H30" i="10"/>
  <c r="F30" i="10"/>
  <c r="D30" i="10"/>
  <c r="O29" i="10"/>
  <c r="L29" i="10"/>
  <c r="J29" i="10"/>
  <c r="H29" i="10"/>
  <c r="F29" i="10"/>
  <c r="D29" i="10"/>
  <c r="O31" i="10"/>
  <c r="L31" i="10"/>
  <c r="J31" i="10"/>
  <c r="H31" i="10"/>
  <c r="F31" i="10"/>
  <c r="D31" i="10"/>
  <c r="O28" i="10"/>
  <c r="L28" i="10"/>
  <c r="J28" i="10"/>
  <c r="H28" i="10"/>
  <c r="F28" i="10"/>
  <c r="D28" i="10"/>
  <c r="O27" i="10"/>
  <c r="L27" i="10"/>
  <c r="J27" i="10"/>
  <c r="H27" i="10"/>
  <c r="F27" i="10"/>
  <c r="D27" i="10"/>
  <c r="O26" i="10"/>
  <c r="L26" i="10"/>
  <c r="J26" i="10"/>
  <c r="H26" i="10"/>
  <c r="F26" i="10"/>
  <c r="D26" i="10"/>
  <c r="O25" i="10"/>
  <c r="L25" i="10"/>
  <c r="J25" i="10"/>
  <c r="H25" i="10"/>
  <c r="F25" i="10"/>
  <c r="D25" i="10"/>
  <c r="O24" i="10"/>
  <c r="L24" i="10"/>
  <c r="J24" i="10"/>
  <c r="H24" i="10"/>
  <c r="F24" i="10"/>
  <c r="D24" i="10"/>
  <c r="O23" i="10"/>
  <c r="L23" i="10"/>
  <c r="J23" i="10"/>
  <c r="H23" i="10"/>
  <c r="F23" i="10"/>
  <c r="D23" i="10"/>
  <c r="O22" i="10"/>
  <c r="L22" i="10"/>
  <c r="J22" i="10"/>
  <c r="H22" i="10"/>
  <c r="F22" i="10"/>
  <c r="D22" i="10"/>
  <c r="O21" i="10"/>
  <c r="L21" i="10"/>
  <c r="J21" i="10"/>
  <c r="H21" i="10"/>
  <c r="F21" i="10"/>
  <c r="D21" i="10"/>
  <c r="O20" i="10"/>
  <c r="L20" i="10"/>
  <c r="J20" i="10"/>
  <c r="H20" i="10"/>
  <c r="F20" i="10"/>
  <c r="D20" i="10"/>
  <c r="O19" i="10"/>
  <c r="L19" i="10"/>
  <c r="J19" i="10"/>
  <c r="H19" i="10"/>
  <c r="F19" i="10"/>
  <c r="D19" i="10"/>
  <c r="O18" i="10"/>
  <c r="L18" i="10"/>
  <c r="J18" i="10"/>
  <c r="H18" i="10"/>
  <c r="F18" i="10"/>
  <c r="D18" i="10"/>
  <c r="O17" i="10"/>
  <c r="L17" i="10"/>
  <c r="J17" i="10"/>
  <c r="H17" i="10"/>
  <c r="F17" i="10"/>
  <c r="D17" i="10"/>
  <c r="O16" i="10"/>
  <c r="L16" i="10"/>
  <c r="J16" i="10"/>
  <c r="H16" i="10"/>
  <c r="F16" i="10"/>
  <c r="D16" i="10"/>
  <c r="O15" i="10"/>
  <c r="L15" i="10"/>
  <c r="J15" i="10"/>
  <c r="H15" i="10"/>
  <c r="F15" i="10"/>
  <c r="D15" i="10"/>
  <c r="O14" i="10"/>
  <c r="L14" i="10"/>
  <c r="J14" i="10"/>
  <c r="H14" i="10"/>
  <c r="F14" i="10"/>
  <c r="D14" i="10"/>
  <c r="O13" i="10"/>
  <c r="L13" i="10"/>
  <c r="J13" i="10"/>
  <c r="H13" i="10"/>
  <c r="F13" i="10"/>
  <c r="D13" i="10"/>
  <c r="O11" i="10"/>
  <c r="L11" i="10"/>
  <c r="J11" i="10"/>
  <c r="H11" i="10"/>
  <c r="F11" i="10"/>
  <c r="D11" i="10"/>
  <c r="O12" i="10"/>
  <c r="L12" i="10"/>
  <c r="J12" i="10"/>
  <c r="H12" i="10"/>
  <c r="F12" i="10"/>
  <c r="D12" i="10"/>
  <c r="C48" i="9"/>
  <c r="O46" i="9"/>
  <c r="L46" i="9"/>
  <c r="J46" i="9"/>
  <c r="H46" i="9"/>
  <c r="F46" i="9"/>
  <c r="D46" i="9"/>
  <c r="O45" i="9"/>
  <c r="L45" i="9"/>
  <c r="J45" i="9"/>
  <c r="F45" i="9"/>
  <c r="D45" i="9"/>
  <c r="O44" i="9"/>
  <c r="L44" i="9"/>
  <c r="J44" i="9"/>
  <c r="H44" i="9"/>
  <c r="F44" i="9"/>
  <c r="D44" i="9"/>
  <c r="O43" i="9"/>
  <c r="L43" i="9"/>
  <c r="J43" i="9"/>
  <c r="H43" i="9"/>
  <c r="F43" i="9"/>
  <c r="D43" i="9"/>
  <c r="O42" i="9"/>
  <c r="L42" i="9"/>
  <c r="J42" i="9"/>
  <c r="H42" i="9"/>
  <c r="F42" i="9"/>
  <c r="D42" i="9"/>
  <c r="O41" i="9"/>
  <c r="L41" i="9"/>
  <c r="J41" i="9"/>
  <c r="H41" i="9"/>
  <c r="F41" i="9"/>
  <c r="D41" i="9"/>
  <c r="O40" i="9"/>
  <c r="L40" i="9"/>
  <c r="J40" i="9"/>
  <c r="H40" i="9"/>
  <c r="F40" i="9"/>
  <c r="D40" i="9"/>
  <c r="O39" i="9"/>
  <c r="L39" i="9"/>
  <c r="J39" i="9"/>
  <c r="H39" i="9"/>
  <c r="F39" i="9"/>
  <c r="D39" i="9"/>
  <c r="O38" i="9"/>
  <c r="L38" i="9"/>
  <c r="J38" i="9"/>
  <c r="H38" i="9"/>
  <c r="F38" i="9"/>
  <c r="D38" i="9"/>
  <c r="O37" i="9"/>
  <c r="L37" i="9"/>
  <c r="J37" i="9"/>
  <c r="H37" i="9"/>
  <c r="F37" i="9"/>
  <c r="D37" i="9"/>
  <c r="O36" i="9"/>
  <c r="L36" i="9"/>
  <c r="J36" i="9"/>
  <c r="H36" i="9"/>
  <c r="F36" i="9"/>
  <c r="D36" i="9"/>
  <c r="O35" i="9"/>
  <c r="L35" i="9"/>
  <c r="J35" i="9"/>
  <c r="H35" i="9"/>
  <c r="F35" i="9"/>
  <c r="D35" i="9"/>
  <c r="O34" i="9"/>
  <c r="L34" i="9"/>
  <c r="J34" i="9"/>
  <c r="H34" i="9"/>
  <c r="F34" i="9"/>
  <c r="D34" i="9"/>
  <c r="O33" i="9"/>
  <c r="L33" i="9"/>
  <c r="J33" i="9"/>
  <c r="H33" i="9"/>
  <c r="F33" i="9"/>
  <c r="D33" i="9"/>
  <c r="O32" i="9"/>
  <c r="L32" i="9"/>
  <c r="J32" i="9"/>
  <c r="H32" i="9"/>
  <c r="F32" i="9"/>
  <c r="D32" i="9"/>
  <c r="O30" i="9"/>
  <c r="L30" i="9"/>
  <c r="J30" i="9"/>
  <c r="H30" i="9"/>
  <c r="F30" i="9"/>
  <c r="D30" i="9"/>
  <c r="O29" i="9"/>
  <c r="L29" i="9"/>
  <c r="J29" i="9"/>
  <c r="H29" i="9"/>
  <c r="F29" i="9"/>
  <c r="D29" i="9"/>
  <c r="O31" i="9"/>
  <c r="L31" i="9"/>
  <c r="J31" i="9"/>
  <c r="H31" i="9"/>
  <c r="F31" i="9"/>
  <c r="D31" i="9"/>
  <c r="O28" i="9"/>
  <c r="L28" i="9"/>
  <c r="J28" i="9"/>
  <c r="H28" i="9"/>
  <c r="F28" i="9"/>
  <c r="D28" i="9"/>
  <c r="O27" i="9"/>
  <c r="L27" i="9"/>
  <c r="J27" i="9"/>
  <c r="H27" i="9"/>
  <c r="F27" i="9"/>
  <c r="D27" i="9"/>
  <c r="O26" i="9"/>
  <c r="L26" i="9"/>
  <c r="J26" i="9"/>
  <c r="H26" i="9"/>
  <c r="F26" i="9"/>
  <c r="D26" i="9"/>
  <c r="O25" i="9"/>
  <c r="L25" i="9"/>
  <c r="J25" i="9"/>
  <c r="H25" i="9"/>
  <c r="F25" i="9"/>
  <c r="D25" i="9"/>
  <c r="O24" i="9"/>
  <c r="L24" i="9"/>
  <c r="J24" i="9"/>
  <c r="H24" i="9"/>
  <c r="F24" i="9"/>
  <c r="D24" i="9"/>
  <c r="O23" i="9"/>
  <c r="L23" i="9"/>
  <c r="J23" i="9"/>
  <c r="H23" i="9"/>
  <c r="F23" i="9"/>
  <c r="D23" i="9"/>
  <c r="O22" i="9"/>
  <c r="L22" i="9"/>
  <c r="J22" i="9"/>
  <c r="H22" i="9"/>
  <c r="F22" i="9"/>
  <c r="D22" i="9"/>
  <c r="O21" i="9"/>
  <c r="L21" i="9"/>
  <c r="J21" i="9"/>
  <c r="H21" i="9"/>
  <c r="F21" i="9"/>
  <c r="D21" i="9"/>
  <c r="O20" i="9"/>
  <c r="L20" i="9"/>
  <c r="J20" i="9"/>
  <c r="H20" i="9"/>
  <c r="F20" i="9"/>
  <c r="D20" i="9"/>
  <c r="O19" i="9"/>
  <c r="L19" i="9"/>
  <c r="J19" i="9"/>
  <c r="H19" i="9"/>
  <c r="F19" i="9"/>
  <c r="D19" i="9"/>
  <c r="O18" i="9"/>
  <c r="L18" i="9"/>
  <c r="J18" i="9"/>
  <c r="H18" i="9"/>
  <c r="F18" i="9"/>
  <c r="D18" i="9"/>
  <c r="O17" i="9"/>
  <c r="L17" i="9"/>
  <c r="J17" i="9"/>
  <c r="H17" i="9"/>
  <c r="F17" i="9"/>
  <c r="D17" i="9"/>
  <c r="O16" i="9"/>
  <c r="L16" i="9"/>
  <c r="J16" i="9"/>
  <c r="H16" i="9"/>
  <c r="F16" i="9"/>
  <c r="D16" i="9"/>
  <c r="O15" i="9"/>
  <c r="L15" i="9"/>
  <c r="J15" i="9"/>
  <c r="H15" i="9"/>
  <c r="F15" i="9"/>
  <c r="D15" i="9"/>
  <c r="O14" i="9"/>
  <c r="L14" i="9"/>
  <c r="J14" i="9"/>
  <c r="H14" i="9"/>
  <c r="F14" i="9"/>
  <c r="D14" i="9"/>
  <c r="O13" i="9"/>
  <c r="L13" i="9"/>
  <c r="J13" i="9"/>
  <c r="H13" i="9"/>
  <c r="F13" i="9"/>
  <c r="D13" i="9"/>
  <c r="O11" i="9"/>
  <c r="L11" i="9"/>
  <c r="J11" i="9"/>
  <c r="H11" i="9"/>
  <c r="F11" i="9"/>
  <c r="D11" i="9"/>
  <c r="O12" i="9"/>
  <c r="L12" i="9"/>
  <c r="J12" i="9"/>
  <c r="H12" i="9"/>
  <c r="F12" i="9"/>
  <c r="D12" i="9"/>
  <c r="O46" i="8"/>
  <c r="L46" i="8"/>
  <c r="J46" i="8"/>
  <c r="H46" i="8"/>
  <c r="F46" i="8"/>
  <c r="D46" i="8"/>
  <c r="O45" i="8"/>
  <c r="L45" i="8"/>
  <c r="J45" i="8"/>
  <c r="H45" i="8"/>
  <c r="F45" i="8"/>
  <c r="D45" i="8"/>
  <c r="O44" i="8"/>
  <c r="L44" i="8"/>
  <c r="J44" i="8"/>
  <c r="H44" i="8"/>
  <c r="F44" i="8"/>
  <c r="D44" i="8"/>
  <c r="O43" i="8"/>
  <c r="L43" i="8"/>
  <c r="J43" i="8"/>
  <c r="H43" i="8"/>
  <c r="F43" i="8"/>
  <c r="D43" i="8"/>
  <c r="O42" i="8"/>
  <c r="L42" i="8"/>
  <c r="J42" i="8"/>
  <c r="H42" i="8"/>
  <c r="F42" i="8"/>
  <c r="D42" i="8"/>
  <c r="O41" i="8"/>
  <c r="L41" i="8"/>
  <c r="J41" i="8"/>
  <c r="H41" i="8"/>
  <c r="F41" i="8"/>
  <c r="D41" i="8"/>
  <c r="O40" i="8"/>
  <c r="L40" i="8"/>
  <c r="J40" i="8"/>
  <c r="H40" i="8"/>
  <c r="F40" i="8"/>
  <c r="D40" i="8"/>
  <c r="O39" i="8"/>
  <c r="L39" i="8"/>
  <c r="J39" i="8"/>
  <c r="H39" i="8"/>
  <c r="F39" i="8"/>
  <c r="D39" i="8"/>
  <c r="O38" i="8"/>
  <c r="L38" i="8"/>
  <c r="J38" i="8"/>
  <c r="H38" i="8"/>
  <c r="F38" i="8"/>
  <c r="D38" i="8"/>
  <c r="O37" i="8"/>
  <c r="L37" i="8"/>
  <c r="J37" i="8"/>
  <c r="H37" i="8"/>
  <c r="F37" i="8"/>
  <c r="D37" i="8"/>
  <c r="O36" i="8"/>
  <c r="L36" i="8"/>
  <c r="J36" i="8"/>
  <c r="H36" i="8"/>
  <c r="F36" i="8"/>
  <c r="D36" i="8"/>
  <c r="O35" i="8"/>
  <c r="L35" i="8"/>
  <c r="J35" i="8"/>
  <c r="H35" i="8"/>
  <c r="F35" i="8"/>
  <c r="D35" i="8"/>
  <c r="O34" i="8"/>
  <c r="L34" i="8"/>
  <c r="J34" i="8"/>
  <c r="H34" i="8"/>
  <c r="F34" i="8"/>
  <c r="D34" i="8"/>
  <c r="O33" i="8"/>
  <c r="L33" i="8"/>
  <c r="J33" i="8"/>
  <c r="H33" i="8"/>
  <c r="F33" i="8"/>
  <c r="D33" i="8"/>
  <c r="O32" i="8"/>
  <c r="L32" i="8"/>
  <c r="J32" i="8"/>
  <c r="H32" i="8"/>
  <c r="F32" i="8"/>
  <c r="D32" i="8"/>
  <c r="O30" i="8"/>
  <c r="L30" i="8"/>
  <c r="J30" i="8"/>
  <c r="H30" i="8"/>
  <c r="F30" i="8"/>
  <c r="D30" i="8"/>
  <c r="O29" i="8"/>
  <c r="L29" i="8"/>
  <c r="J29" i="8"/>
  <c r="H29" i="8"/>
  <c r="F29" i="8"/>
  <c r="D29" i="8"/>
  <c r="O31" i="8"/>
  <c r="L31" i="8"/>
  <c r="J31" i="8"/>
  <c r="H31" i="8"/>
  <c r="F31" i="8"/>
  <c r="D31" i="8"/>
  <c r="O28" i="8"/>
  <c r="L28" i="8"/>
  <c r="J28" i="8"/>
  <c r="H28" i="8"/>
  <c r="F28" i="8"/>
  <c r="D28" i="8"/>
  <c r="O27" i="8"/>
  <c r="L27" i="8"/>
  <c r="J27" i="8"/>
  <c r="H27" i="8"/>
  <c r="F27" i="8"/>
  <c r="D27" i="8"/>
  <c r="O26" i="8"/>
  <c r="L26" i="8"/>
  <c r="J26" i="8"/>
  <c r="H26" i="8"/>
  <c r="F26" i="8"/>
  <c r="D26" i="8"/>
  <c r="O25" i="8"/>
  <c r="L25" i="8"/>
  <c r="J25" i="8"/>
  <c r="H25" i="8"/>
  <c r="F25" i="8"/>
  <c r="D25" i="8"/>
  <c r="O24" i="8"/>
  <c r="L24" i="8"/>
  <c r="J24" i="8"/>
  <c r="H24" i="8"/>
  <c r="F24" i="8"/>
  <c r="D24" i="8"/>
  <c r="O23" i="8"/>
  <c r="L23" i="8"/>
  <c r="J23" i="8"/>
  <c r="H23" i="8"/>
  <c r="F23" i="8"/>
  <c r="D23" i="8"/>
  <c r="O22" i="8"/>
  <c r="L22" i="8"/>
  <c r="J22" i="8"/>
  <c r="H22" i="8"/>
  <c r="F22" i="8"/>
  <c r="D22" i="8"/>
  <c r="O21" i="8"/>
  <c r="L21" i="8"/>
  <c r="J21" i="8"/>
  <c r="H21" i="8"/>
  <c r="F21" i="8"/>
  <c r="D21" i="8"/>
  <c r="O20" i="8"/>
  <c r="L20" i="8"/>
  <c r="J20" i="8"/>
  <c r="H20" i="8"/>
  <c r="F20" i="8"/>
  <c r="D20" i="8"/>
  <c r="O19" i="8"/>
  <c r="L19" i="8"/>
  <c r="J19" i="8"/>
  <c r="H19" i="8"/>
  <c r="F19" i="8"/>
  <c r="D19" i="8"/>
  <c r="O18" i="8"/>
  <c r="L18" i="8"/>
  <c r="J18" i="8"/>
  <c r="H18" i="8"/>
  <c r="F18" i="8"/>
  <c r="D18" i="8"/>
  <c r="O17" i="8"/>
  <c r="L17" i="8"/>
  <c r="J17" i="8"/>
  <c r="H17" i="8"/>
  <c r="F17" i="8"/>
  <c r="D17" i="8"/>
  <c r="O16" i="8"/>
  <c r="L16" i="8"/>
  <c r="J16" i="8"/>
  <c r="H16" i="8"/>
  <c r="F16" i="8"/>
  <c r="D16" i="8"/>
  <c r="O15" i="8"/>
  <c r="L15" i="8"/>
  <c r="J15" i="8"/>
  <c r="H15" i="8"/>
  <c r="F15" i="8"/>
  <c r="D15" i="8"/>
  <c r="O14" i="8"/>
  <c r="L14" i="8"/>
  <c r="J14" i="8"/>
  <c r="H14" i="8"/>
  <c r="F14" i="8"/>
  <c r="D14" i="8"/>
  <c r="O13" i="8"/>
  <c r="L13" i="8"/>
  <c r="J13" i="8"/>
  <c r="H13" i="8"/>
  <c r="F13" i="8"/>
  <c r="D13" i="8"/>
  <c r="O11" i="8"/>
  <c r="L11" i="8"/>
  <c r="J11" i="8"/>
  <c r="H11" i="8"/>
  <c r="F11" i="8"/>
  <c r="D11" i="8"/>
  <c r="O12" i="8"/>
  <c r="L12" i="8"/>
  <c r="J12" i="8"/>
  <c r="H12" i="8"/>
  <c r="F12" i="8"/>
  <c r="D12" i="8"/>
  <c r="O46" i="4"/>
  <c r="L46" i="4"/>
  <c r="J46" i="4"/>
  <c r="H46" i="4"/>
  <c r="F46" i="4"/>
  <c r="D46" i="4"/>
  <c r="O45" i="4"/>
  <c r="L45" i="4"/>
  <c r="J45" i="4"/>
  <c r="H45" i="4"/>
  <c r="F45" i="4"/>
  <c r="D45" i="4"/>
  <c r="O44" i="4"/>
  <c r="L44" i="4"/>
  <c r="J44" i="4"/>
  <c r="H44" i="4"/>
  <c r="F44" i="4"/>
  <c r="D44" i="4"/>
  <c r="O43" i="4"/>
  <c r="L43" i="4"/>
  <c r="J43" i="4"/>
  <c r="H43" i="4"/>
  <c r="F43" i="4"/>
  <c r="D43" i="4"/>
  <c r="O42" i="4"/>
  <c r="L42" i="4"/>
  <c r="J42" i="4"/>
  <c r="H42" i="4"/>
  <c r="F42" i="4"/>
  <c r="D42" i="4"/>
  <c r="O41" i="4"/>
  <c r="L41" i="4"/>
  <c r="J41" i="4"/>
  <c r="H41" i="4"/>
  <c r="F41" i="4"/>
  <c r="D41" i="4"/>
  <c r="O40" i="4"/>
  <c r="L40" i="4"/>
  <c r="J40" i="4"/>
  <c r="H40" i="4"/>
  <c r="F40" i="4"/>
  <c r="D40" i="4"/>
  <c r="O39" i="4"/>
  <c r="L39" i="4"/>
  <c r="J39" i="4"/>
  <c r="H39" i="4"/>
  <c r="F39" i="4"/>
  <c r="D39" i="4"/>
  <c r="O38" i="4"/>
  <c r="L38" i="4"/>
  <c r="J38" i="4"/>
  <c r="H38" i="4"/>
  <c r="F38" i="4"/>
  <c r="D38" i="4"/>
  <c r="O37" i="4"/>
  <c r="L37" i="4"/>
  <c r="J37" i="4"/>
  <c r="H37" i="4"/>
  <c r="F37" i="4"/>
  <c r="D37" i="4"/>
  <c r="O36" i="4"/>
  <c r="L36" i="4"/>
  <c r="J36" i="4"/>
  <c r="H36" i="4"/>
  <c r="F36" i="4"/>
  <c r="D36" i="4"/>
  <c r="O35" i="4"/>
  <c r="L35" i="4"/>
  <c r="J35" i="4"/>
  <c r="H35" i="4"/>
  <c r="F35" i="4"/>
  <c r="D35" i="4"/>
  <c r="O34" i="4"/>
  <c r="L34" i="4"/>
  <c r="J34" i="4"/>
  <c r="H34" i="4"/>
  <c r="F34" i="4"/>
  <c r="D34" i="4"/>
  <c r="O33" i="4"/>
  <c r="L33" i="4"/>
  <c r="J33" i="4"/>
  <c r="H33" i="4"/>
  <c r="F33" i="4"/>
  <c r="D33" i="4"/>
  <c r="O32" i="4"/>
  <c r="L32" i="4"/>
  <c r="J32" i="4"/>
  <c r="H32" i="4"/>
  <c r="F32" i="4"/>
  <c r="D32" i="4"/>
  <c r="O30" i="4"/>
  <c r="L30" i="4"/>
  <c r="J30" i="4"/>
  <c r="H30" i="4"/>
  <c r="F30" i="4"/>
  <c r="D30" i="4"/>
  <c r="O29" i="4"/>
  <c r="L29" i="4"/>
  <c r="J29" i="4"/>
  <c r="H29" i="4"/>
  <c r="F29" i="4"/>
  <c r="D29" i="4"/>
  <c r="O31" i="4"/>
  <c r="L31" i="4"/>
  <c r="J31" i="4"/>
  <c r="H31" i="4"/>
  <c r="F31" i="4"/>
  <c r="D31" i="4"/>
  <c r="O28" i="4"/>
  <c r="L28" i="4"/>
  <c r="J28" i="4"/>
  <c r="H28" i="4"/>
  <c r="F28" i="4"/>
  <c r="D28" i="4"/>
  <c r="O27" i="4"/>
  <c r="L27" i="4"/>
  <c r="J27" i="4"/>
  <c r="H27" i="4"/>
  <c r="F27" i="4"/>
  <c r="D27" i="4"/>
  <c r="O26" i="4"/>
  <c r="L26" i="4"/>
  <c r="J26" i="4"/>
  <c r="H26" i="4"/>
  <c r="F26" i="4"/>
  <c r="D26" i="4"/>
  <c r="O25" i="4"/>
  <c r="L25" i="4"/>
  <c r="J25" i="4"/>
  <c r="H25" i="4"/>
  <c r="F25" i="4"/>
  <c r="D25" i="4"/>
  <c r="O24" i="4"/>
  <c r="L24" i="4"/>
  <c r="J24" i="4"/>
  <c r="H24" i="4"/>
  <c r="F24" i="4"/>
  <c r="D24" i="4"/>
  <c r="O23" i="4"/>
  <c r="L23" i="4"/>
  <c r="J23" i="4"/>
  <c r="H23" i="4"/>
  <c r="F23" i="4"/>
  <c r="D23" i="4"/>
  <c r="O22" i="4"/>
  <c r="L22" i="4"/>
  <c r="J22" i="4"/>
  <c r="H22" i="4"/>
  <c r="F22" i="4"/>
  <c r="D22" i="4"/>
  <c r="O21" i="4"/>
  <c r="L21" i="4"/>
  <c r="J21" i="4"/>
  <c r="H21" i="4"/>
  <c r="F21" i="4"/>
  <c r="D21" i="4"/>
  <c r="O20" i="4"/>
  <c r="L20" i="4"/>
  <c r="J20" i="4"/>
  <c r="H20" i="4"/>
  <c r="F20" i="4"/>
  <c r="D20" i="4"/>
  <c r="O19" i="4"/>
  <c r="L19" i="4"/>
  <c r="J19" i="4"/>
  <c r="H19" i="4"/>
  <c r="F19" i="4"/>
  <c r="D19" i="4"/>
  <c r="O18" i="4"/>
  <c r="L18" i="4"/>
  <c r="J18" i="4"/>
  <c r="H18" i="4"/>
  <c r="F18" i="4"/>
  <c r="D18" i="4"/>
  <c r="O17" i="4"/>
  <c r="L17" i="4"/>
  <c r="J17" i="4"/>
  <c r="H17" i="4"/>
  <c r="F17" i="4"/>
  <c r="D17" i="4"/>
  <c r="O16" i="4"/>
  <c r="L16" i="4"/>
  <c r="J16" i="4"/>
  <c r="H16" i="4"/>
  <c r="F16" i="4"/>
  <c r="D16" i="4"/>
  <c r="O15" i="4"/>
  <c r="L15" i="4"/>
  <c r="J15" i="4"/>
  <c r="H15" i="4"/>
  <c r="F15" i="4"/>
  <c r="D15" i="4"/>
  <c r="O14" i="4"/>
  <c r="L14" i="4"/>
  <c r="J14" i="4"/>
  <c r="H14" i="4"/>
  <c r="F14" i="4"/>
  <c r="D14" i="4"/>
  <c r="O13" i="4"/>
  <c r="L13" i="4"/>
  <c r="J13" i="4"/>
  <c r="H13" i="4"/>
  <c r="F13" i="4"/>
  <c r="D13" i="4"/>
  <c r="O11" i="4"/>
  <c r="L11" i="4"/>
  <c r="J11" i="4"/>
  <c r="H11" i="4"/>
  <c r="F11" i="4"/>
  <c r="D11" i="4"/>
  <c r="O12" i="4"/>
  <c r="L12" i="4"/>
  <c r="J12" i="4"/>
  <c r="H12" i="4"/>
  <c r="F12" i="4"/>
  <c r="D12" i="4"/>
  <c r="K11" i="7"/>
  <c r="L11" i="7" s="1"/>
  <c r="O46" i="7"/>
  <c r="L46" i="7"/>
  <c r="J46" i="7"/>
  <c r="H46" i="7"/>
  <c r="F46" i="7"/>
  <c r="D46" i="7"/>
  <c r="O45" i="7"/>
  <c r="L45" i="7"/>
  <c r="J45" i="7"/>
  <c r="H45" i="7"/>
  <c r="F45" i="7"/>
  <c r="D45" i="7"/>
  <c r="O44" i="7"/>
  <c r="L44" i="7"/>
  <c r="J44" i="7"/>
  <c r="H44" i="7"/>
  <c r="F44" i="7"/>
  <c r="D44" i="7"/>
  <c r="O43" i="7"/>
  <c r="L43" i="7"/>
  <c r="J43" i="7"/>
  <c r="H43" i="7"/>
  <c r="F43" i="7"/>
  <c r="D43" i="7"/>
  <c r="O42" i="7"/>
  <c r="L42" i="7"/>
  <c r="J42" i="7"/>
  <c r="H42" i="7"/>
  <c r="F42" i="7"/>
  <c r="D42" i="7"/>
  <c r="O41" i="7"/>
  <c r="L41" i="7"/>
  <c r="J41" i="7"/>
  <c r="H41" i="7"/>
  <c r="F41" i="7"/>
  <c r="D41" i="7"/>
  <c r="O40" i="7"/>
  <c r="L40" i="7"/>
  <c r="J40" i="7"/>
  <c r="H40" i="7"/>
  <c r="F40" i="7"/>
  <c r="D40" i="7"/>
  <c r="O39" i="7"/>
  <c r="L39" i="7"/>
  <c r="J39" i="7"/>
  <c r="H39" i="7"/>
  <c r="F39" i="7"/>
  <c r="D39" i="7"/>
  <c r="O38" i="7"/>
  <c r="L38" i="7"/>
  <c r="J38" i="7"/>
  <c r="H38" i="7"/>
  <c r="F38" i="7"/>
  <c r="D38" i="7"/>
  <c r="O37" i="7"/>
  <c r="L37" i="7"/>
  <c r="J37" i="7"/>
  <c r="H37" i="7"/>
  <c r="F37" i="7"/>
  <c r="D37" i="7"/>
  <c r="O36" i="7"/>
  <c r="L36" i="7"/>
  <c r="J36" i="7"/>
  <c r="H36" i="7"/>
  <c r="F36" i="7"/>
  <c r="D36" i="7"/>
  <c r="O35" i="7"/>
  <c r="L35" i="7"/>
  <c r="J35" i="7"/>
  <c r="H35" i="7"/>
  <c r="F35" i="7"/>
  <c r="D35" i="7"/>
  <c r="O34" i="7"/>
  <c r="L34" i="7"/>
  <c r="J34" i="7"/>
  <c r="H34" i="7"/>
  <c r="F34" i="7"/>
  <c r="D34" i="7"/>
  <c r="O33" i="7"/>
  <c r="L33" i="7"/>
  <c r="J33" i="7"/>
  <c r="H33" i="7"/>
  <c r="F33" i="7"/>
  <c r="D33" i="7"/>
  <c r="O32" i="7"/>
  <c r="L32" i="7"/>
  <c r="J32" i="7"/>
  <c r="H32" i="7"/>
  <c r="F32" i="7"/>
  <c r="D32" i="7"/>
  <c r="O30" i="7"/>
  <c r="L30" i="7"/>
  <c r="J30" i="7"/>
  <c r="H30" i="7"/>
  <c r="F30" i="7"/>
  <c r="D30" i="7"/>
  <c r="O29" i="7"/>
  <c r="L29" i="7"/>
  <c r="J29" i="7"/>
  <c r="H29" i="7"/>
  <c r="F29" i="7"/>
  <c r="D29" i="7"/>
  <c r="O31" i="7"/>
  <c r="L31" i="7"/>
  <c r="J31" i="7"/>
  <c r="H31" i="7"/>
  <c r="F31" i="7"/>
  <c r="D31" i="7"/>
  <c r="O28" i="7"/>
  <c r="L28" i="7"/>
  <c r="J28" i="7"/>
  <c r="H28" i="7"/>
  <c r="F28" i="7"/>
  <c r="D28" i="7"/>
  <c r="O27" i="7"/>
  <c r="L27" i="7"/>
  <c r="J27" i="7"/>
  <c r="H27" i="7"/>
  <c r="F27" i="7"/>
  <c r="D27" i="7"/>
  <c r="O26" i="7"/>
  <c r="L26" i="7"/>
  <c r="J26" i="7"/>
  <c r="H26" i="7"/>
  <c r="F26" i="7"/>
  <c r="D26" i="7"/>
  <c r="O25" i="7"/>
  <c r="L25" i="7"/>
  <c r="J25" i="7"/>
  <c r="H25" i="7"/>
  <c r="F25" i="7"/>
  <c r="D25" i="7"/>
  <c r="O24" i="7"/>
  <c r="L24" i="7"/>
  <c r="J24" i="7"/>
  <c r="H24" i="7"/>
  <c r="F24" i="7"/>
  <c r="D24" i="7"/>
  <c r="O23" i="7"/>
  <c r="L23" i="7"/>
  <c r="J23" i="7"/>
  <c r="H23" i="7"/>
  <c r="F23" i="7"/>
  <c r="D23" i="7"/>
  <c r="O22" i="7"/>
  <c r="L22" i="7"/>
  <c r="J22" i="7"/>
  <c r="H22" i="7"/>
  <c r="F22" i="7"/>
  <c r="D22" i="7"/>
  <c r="O21" i="7"/>
  <c r="L21" i="7"/>
  <c r="J21" i="7"/>
  <c r="H21" i="7"/>
  <c r="F21" i="7"/>
  <c r="D21" i="7"/>
  <c r="O20" i="7"/>
  <c r="L20" i="7"/>
  <c r="J20" i="7"/>
  <c r="H20" i="7"/>
  <c r="F20" i="7"/>
  <c r="D20" i="7"/>
  <c r="O19" i="7"/>
  <c r="L19" i="7"/>
  <c r="J19" i="7"/>
  <c r="H19" i="7"/>
  <c r="F19" i="7"/>
  <c r="D19" i="7"/>
  <c r="O18" i="7"/>
  <c r="L18" i="7"/>
  <c r="J18" i="7"/>
  <c r="H18" i="7"/>
  <c r="F18" i="7"/>
  <c r="D18" i="7"/>
  <c r="O17" i="7"/>
  <c r="L17" i="7"/>
  <c r="J17" i="7"/>
  <c r="H17" i="7"/>
  <c r="F17" i="7"/>
  <c r="D17" i="7"/>
  <c r="O16" i="7"/>
  <c r="L16" i="7"/>
  <c r="J16" i="7"/>
  <c r="H16" i="7"/>
  <c r="F16" i="7"/>
  <c r="D16" i="7"/>
  <c r="O15" i="7"/>
  <c r="L15" i="7"/>
  <c r="J15" i="7"/>
  <c r="H15" i="7"/>
  <c r="F15" i="7"/>
  <c r="D15" i="7"/>
  <c r="O14" i="7"/>
  <c r="L14" i="7"/>
  <c r="J14" i="7"/>
  <c r="H14" i="7"/>
  <c r="F14" i="7"/>
  <c r="D14" i="7"/>
  <c r="O13" i="7"/>
  <c r="L13" i="7"/>
  <c r="J13" i="7"/>
  <c r="H13" i="7"/>
  <c r="F13" i="7"/>
  <c r="D13" i="7"/>
  <c r="O11" i="7"/>
  <c r="J11" i="7"/>
  <c r="H11" i="7"/>
  <c r="F11" i="7"/>
  <c r="D11" i="7"/>
  <c r="O12" i="7"/>
  <c r="L12" i="7"/>
  <c r="J12" i="7"/>
  <c r="H12" i="7"/>
  <c r="F12" i="7"/>
  <c r="D12" i="7"/>
  <c r="M46" i="6"/>
  <c r="J46" i="6"/>
  <c r="H46" i="6"/>
  <c r="F46" i="6"/>
  <c r="D46" i="6"/>
  <c r="M45" i="6"/>
  <c r="J45" i="6"/>
  <c r="H45" i="6"/>
  <c r="F45" i="6"/>
  <c r="D45" i="6"/>
  <c r="M44" i="6"/>
  <c r="J44" i="6"/>
  <c r="H44" i="6"/>
  <c r="F44" i="6"/>
  <c r="D44" i="6"/>
  <c r="M43" i="6"/>
  <c r="J43" i="6"/>
  <c r="H43" i="6"/>
  <c r="F43" i="6"/>
  <c r="D43" i="6"/>
  <c r="M42" i="6"/>
  <c r="J42" i="6"/>
  <c r="H42" i="6"/>
  <c r="F42" i="6"/>
  <c r="D42" i="6"/>
  <c r="M41" i="6"/>
  <c r="J41" i="6"/>
  <c r="H41" i="6"/>
  <c r="F41" i="6"/>
  <c r="D41" i="6"/>
  <c r="M40" i="6"/>
  <c r="J40" i="6"/>
  <c r="H40" i="6"/>
  <c r="F40" i="6"/>
  <c r="D40" i="6"/>
  <c r="M39" i="6"/>
  <c r="J39" i="6"/>
  <c r="H39" i="6"/>
  <c r="F39" i="6"/>
  <c r="D39" i="6"/>
  <c r="M38" i="6"/>
  <c r="J38" i="6"/>
  <c r="H38" i="6"/>
  <c r="F38" i="6"/>
  <c r="D38" i="6"/>
  <c r="M37" i="6"/>
  <c r="J37" i="6"/>
  <c r="H37" i="6"/>
  <c r="F37" i="6"/>
  <c r="D37" i="6"/>
  <c r="M36" i="6"/>
  <c r="J36" i="6"/>
  <c r="H36" i="6"/>
  <c r="F36" i="6"/>
  <c r="D36" i="6"/>
  <c r="M35" i="6"/>
  <c r="J35" i="6"/>
  <c r="H35" i="6"/>
  <c r="F35" i="6"/>
  <c r="D35" i="6"/>
  <c r="J34" i="6"/>
  <c r="H34" i="6"/>
  <c r="F34" i="6"/>
  <c r="D34" i="6"/>
  <c r="M32" i="6"/>
  <c r="J32" i="6"/>
  <c r="H32" i="6"/>
  <c r="F32" i="6"/>
  <c r="D32" i="6"/>
  <c r="M30" i="6"/>
  <c r="J30" i="6"/>
  <c r="H30" i="6"/>
  <c r="F30" i="6"/>
  <c r="D30" i="6"/>
  <c r="M29" i="6"/>
  <c r="J29" i="6"/>
  <c r="H29" i="6"/>
  <c r="F29" i="6"/>
  <c r="D29" i="6"/>
  <c r="M31" i="6"/>
  <c r="J31" i="6"/>
  <c r="H31" i="6"/>
  <c r="F31" i="6"/>
  <c r="D31" i="6"/>
  <c r="M28" i="6"/>
  <c r="J28" i="6"/>
  <c r="H28" i="6"/>
  <c r="F28" i="6"/>
  <c r="D28" i="6"/>
  <c r="M27" i="6"/>
  <c r="J27" i="6"/>
  <c r="H27" i="6"/>
  <c r="F27" i="6"/>
  <c r="D27" i="6"/>
  <c r="M26" i="6"/>
  <c r="J26" i="6"/>
  <c r="H26" i="6"/>
  <c r="F26" i="6"/>
  <c r="D26" i="6"/>
  <c r="M25" i="6"/>
  <c r="J25" i="6"/>
  <c r="H25" i="6"/>
  <c r="F25" i="6"/>
  <c r="D25" i="6"/>
  <c r="J24" i="6"/>
  <c r="H24" i="6"/>
  <c r="F24" i="6"/>
  <c r="D24" i="6"/>
  <c r="M23" i="6"/>
  <c r="J23" i="6"/>
  <c r="H23" i="6"/>
  <c r="F23" i="6"/>
  <c r="D23" i="6"/>
  <c r="M22" i="6"/>
  <c r="J22" i="6"/>
  <c r="H22" i="6"/>
  <c r="F22" i="6"/>
  <c r="D22" i="6"/>
  <c r="M21" i="6"/>
  <c r="J21" i="6"/>
  <c r="H21" i="6"/>
  <c r="F21" i="6"/>
  <c r="D21" i="6"/>
  <c r="J20" i="6"/>
  <c r="H20" i="6"/>
  <c r="F20" i="6"/>
  <c r="D20" i="6"/>
  <c r="M19" i="6"/>
  <c r="J19" i="6"/>
  <c r="H19" i="6"/>
  <c r="F19" i="6"/>
  <c r="D19" i="6"/>
  <c r="M17" i="6"/>
  <c r="J17" i="6"/>
  <c r="H17" i="6"/>
  <c r="F17" i="6"/>
  <c r="D17" i="6"/>
  <c r="M16" i="6"/>
  <c r="J16" i="6"/>
  <c r="H16" i="6"/>
  <c r="F16" i="6"/>
  <c r="D16" i="6"/>
  <c r="M14" i="6"/>
  <c r="J14" i="6"/>
  <c r="H14" i="6"/>
  <c r="F14" i="6"/>
  <c r="D14" i="6"/>
  <c r="M13" i="6"/>
  <c r="J13" i="6"/>
  <c r="H13" i="6"/>
  <c r="F13" i="6"/>
  <c r="D13" i="6"/>
  <c r="M11" i="6"/>
  <c r="J11" i="6"/>
  <c r="H11" i="6"/>
  <c r="F11" i="6"/>
  <c r="D11" i="6"/>
  <c r="M12" i="6"/>
  <c r="J12" i="6"/>
  <c r="H12" i="6"/>
  <c r="F12" i="6"/>
  <c r="D12" i="6"/>
  <c r="L28" i="5"/>
  <c r="M28" i="5" s="1"/>
  <c r="L32" i="5"/>
  <c r="L34" i="5"/>
  <c r="M34" i="5" s="1"/>
  <c r="L44" i="5"/>
  <c r="M44" i="5" s="1"/>
  <c r="K44" i="5"/>
  <c r="K47" i="5"/>
  <c r="I14" i="5"/>
  <c r="J14" i="5"/>
  <c r="I28" i="5"/>
  <c r="I32" i="5"/>
  <c r="J32" i="5" s="1"/>
  <c r="I34" i="5"/>
  <c r="J34" i="5" s="1"/>
  <c r="I44" i="5"/>
  <c r="J44" i="5" s="1"/>
  <c r="B44" i="5"/>
  <c r="B47" i="5"/>
  <c r="G14" i="5"/>
  <c r="H14" i="5"/>
  <c r="G28" i="5"/>
  <c r="H28" i="5"/>
  <c r="G32" i="5"/>
  <c r="H32" i="5"/>
  <c r="G34" i="5"/>
  <c r="H34" i="5"/>
  <c r="G44" i="5"/>
  <c r="E28" i="5"/>
  <c r="F28" i="5" s="1"/>
  <c r="E32" i="5"/>
  <c r="F32" i="5" s="1"/>
  <c r="E34" i="5"/>
  <c r="F34" i="5" s="1"/>
  <c r="E44" i="5"/>
  <c r="C14" i="5"/>
  <c r="D14" i="5" s="1"/>
  <c r="C28" i="5"/>
  <c r="D28" i="5" s="1"/>
  <c r="C32" i="5"/>
  <c r="D32" i="5" s="1"/>
  <c r="C34" i="5"/>
  <c r="D34" i="5" s="1"/>
  <c r="C44" i="5"/>
  <c r="M46" i="5"/>
  <c r="J46" i="5"/>
  <c r="H46" i="5"/>
  <c r="F46" i="5"/>
  <c r="D46" i="5"/>
  <c r="M45" i="5"/>
  <c r="J45" i="5"/>
  <c r="H45" i="5"/>
  <c r="F45" i="5"/>
  <c r="D45" i="5"/>
  <c r="M43" i="5"/>
  <c r="J43" i="5"/>
  <c r="H43" i="5"/>
  <c r="F43" i="5"/>
  <c r="D43" i="5"/>
  <c r="J42" i="5"/>
  <c r="H42" i="5"/>
  <c r="F42" i="5"/>
  <c r="D42" i="5"/>
  <c r="M41" i="5"/>
  <c r="J41" i="5"/>
  <c r="H41" i="5"/>
  <c r="F41" i="5"/>
  <c r="D41" i="5"/>
  <c r="M40" i="5"/>
  <c r="J40" i="5"/>
  <c r="H40" i="5"/>
  <c r="F40" i="5"/>
  <c r="D40" i="5"/>
  <c r="M39" i="5"/>
  <c r="J39" i="5"/>
  <c r="H39" i="5"/>
  <c r="F39" i="5"/>
  <c r="D39" i="5"/>
  <c r="M38" i="5"/>
  <c r="J38" i="5"/>
  <c r="H38" i="5"/>
  <c r="F38" i="5"/>
  <c r="D38" i="5"/>
  <c r="M37" i="5"/>
  <c r="J37" i="5"/>
  <c r="H37" i="5"/>
  <c r="F37" i="5"/>
  <c r="D37" i="5"/>
  <c r="M36" i="5"/>
  <c r="J36" i="5"/>
  <c r="H36" i="5"/>
  <c r="F36" i="5"/>
  <c r="D36" i="5"/>
  <c r="M35" i="5"/>
  <c r="J35" i="5"/>
  <c r="H35" i="5"/>
  <c r="F35" i="5"/>
  <c r="D35" i="5"/>
  <c r="M30" i="5"/>
  <c r="J30" i="5"/>
  <c r="H30" i="5"/>
  <c r="F30" i="5"/>
  <c r="D30" i="5"/>
  <c r="M29" i="5"/>
  <c r="J29" i="5"/>
  <c r="H29" i="5"/>
  <c r="F29" i="5"/>
  <c r="D29" i="5"/>
  <c r="M31" i="5"/>
  <c r="J31" i="5"/>
  <c r="H31" i="5"/>
  <c r="F31" i="5"/>
  <c r="D31" i="5"/>
  <c r="M27" i="5"/>
  <c r="J27" i="5"/>
  <c r="H27" i="5"/>
  <c r="F27" i="5"/>
  <c r="D27" i="5"/>
  <c r="M26" i="5"/>
  <c r="J26" i="5"/>
  <c r="H26" i="5"/>
  <c r="F26" i="5"/>
  <c r="D26" i="5"/>
  <c r="M25" i="5"/>
  <c r="J25" i="5"/>
  <c r="H25" i="5"/>
  <c r="F25" i="5"/>
  <c r="D25" i="5"/>
  <c r="M24" i="5"/>
  <c r="J24" i="5"/>
  <c r="H24" i="5"/>
  <c r="F24" i="5"/>
  <c r="D24" i="5"/>
  <c r="M23" i="5"/>
  <c r="J23" i="5"/>
  <c r="H23" i="5"/>
  <c r="F23" i="5"/>
  <c r="D23" i="5"/>
  <c r="M22" i="5"/>
  <c r="J22" i="5"/>
  <c r="H22" i="5"/>
  <c r="F22" i="5"/>
  <c r="D22" i="5"/>
  <c r="M21" i="5"/>
  <c r="J21" i="5"/>
  <c r="H21" i="5"/>
  <c r="F21" i="5"/>
  <c r="D21" i="5"/>
  <c r="M20" i="5"/>
  <c r="J20" i="5"/>
  <c r="H20" i="5"/>
  <c r="F20" i="5"/>
  <c r="D20" i="5"/>
  <c r="M19" i="5"/>
  <c r="J19" i="5"/>
  <c r="H19" i="5"/>
  <c r="F19" i="5"/>
  <c r="D19" i="5"/>
  <c r="M17" i="5"/>
  <c r="J17" i="5"/>
  <c r="H17" i="5"/>
  <c r="F17" i="5"/>
  <c r="D17" i="5"/>
  <c r="M16" i="5"/>
  <c r="J16" i="5"/>
  <c r="H16" i="5"/>
  <c r="F16" i="5"/>
  <c r="D16" i="5"/>
  <c r="M14" i="5"/>
  <c r="F14" i="5"/>
  <c r="M13" i="5"/>
  <c r="J13" i="5"/>
  <c r="H13" i="5"/>
  <c r="F13" i="5"/>
  <c r="D13" i="5"/>
  <c r="M11" i="5"/>
  <c r="J11" i="5"/>
  <c r="H11" i="5"/>
  <c r="F11" i="5"/>
  <c r="D11" i="5"/>
  <c r="M12" i="5"/>
  <c r="J12" i="5"/>
  <c r="H12" i="5"/>
  <c r="F12" i="5"/>
  <c r="D12" i="5"/>
  <c r="L47" i="3"/>
  <c r="M47" i="3" s="1"/>
  <c r="K47" i="3"/>
  <c r="I47" i="3"/>
  <c r="J47" i="3" s="1"/>
  <c r="G47" i="3"/>
  <c r="E47" i="3"/>
  <c r="F47" i="3" s="1"/>
  <c r="C47" i="3"/>
  <c r="D47" i="3" s="1"/>
  <c r="J46" i="3"/>
  <c r="H46" i="3"/>
  <c r="F46" i="3"/>
  <c r="D46" i="3"/>
  <c r="J45" i="3"/>
  <c r="H45" i="3"/>
  <c r="F45" i="3"/>
  <c r="D45" i="3"/>
  <c r="J44" i="3"/>
  <c r="H44" i="3"/>
  <c r="F44" i="3"/>
  <c r="D44" i="3"/>
  <c r="J43" i="3"/>
  <c r="H43" i="3"/>
  <c r="F43" i="3"/>
  <c r="D43" i="3"/>
  <c r="J42" i="3"/>
  <c r="H42" i="3"/>
  <c r="F42" i="3"/>
  <c r="D42" i="3"/>
  <c r="J16" i="3"/>
  <c r="H16" i="3"/>
  <c r="F16" i="3"/>
  <c r="D16" i="3"/>
  <c r="J41" i="3"/>
  <c r="H41" i="3"/>
  <c r="F41" i="3"/>
  <c r="D41" i="3"/>
  <c r="J40" i="3"/>
  <c r="H40" i="3"/>
  <c r="F40" i="3"/>
  <c r="D40" i="3"/>
  <c r="J39" i="3"/>
  <c r="H39" i="3"/>
  <c r="F39" i="3"/>
  <c r="D39" i="3"/>
  <c r="J38" i="3"/>
  <c r="H38" i="3"/>
  <c r="F38" i="3"/>
  <c r="D38" i="3"/>
  <c r="J37" i="3"/>
  <c r="H37" i="3"/>
  <c r="F37" i="3"/>
  <c r="D37" i="3"/>
  <c r="J35" i="3"/>
  <c r="H35" i="3"/>
  <c r="F35" i="3"/>
  <c r="D35" i="3"/>
  <c r="J36" i="3"/>
  <c r="H36" i="3"/>
  <c r="F36" i="3"/>
  <c r="D36" i="3"/>
  <c r="J34" i="3"/>
  <c r="H34" i="3"/>
  <c r="F34" i="3"/>
  <c r="D34" i="3"/>
  <c r="J33" i="3"/>
  <c r="H33" i="3"/>
  <c r="F33" i="3"/>
  <c r="D33" i="3"/>
  <c r="J32" i="3"/>
  <c r="H32" i="3"/>
  <c r="F32" i="3"/>
  <c r="D32" i="3"/>
  <c r="J30" i="3"/>
  <c r="H30" i="3"/>
  <c r="F30" i="3"/>
  <c r="D30" i="3"/>
  <c r="J29" i="3"/>
  <c r="H29" i="3"/>
  <c r="F29" i="3"/>
  <c r="D29" i="3"/>
  <c r="J31" i="3"/>
  <c r="H31" i="3"/>
  <c r="F31" i="3"/>
  <c r="D31" i="3"/>
  <c r="J28" i="3"/>
  <c r="H28" i="3"/>
  <c r="F28" i="3"/>
  <c r="D28" i="3"/>
  <c r="J26" i="3"/>
  <c r="H26" i="3"/>
  <c r="F26" i="3"/>
  <c r="D26" i="3"/>
  <c r="J25" i="3"/>
  <c r="H25" i="3"/>
  <c r="F25" i="3"/>
  <c r="D25" i="3"/>
  <c r="J24" i="3"/>
  <c r="H24" i="3"/>
  <c r="F24" i="3"/>
  <c r="D24" i="3"/>
  <c r="J23" i="3"/>
  <c r="H23" i="3"/>
  <c r="F23" i="3"/>
  <c r="D23" i="3"/>
  <c r="J22" i="3"/>
  <c r="H22" i="3"/>
  <c r="F22" i="3"/>
  <c r="D22" i="3"/>
  <c r="J21" i="3"/>
  <c r="H21" i="3"/>
  <c r="F21" i="3"/>
  <c r="D21" i="3"/>
  <c r="J20" i="3"/>
  <c r="H20" i="3"/>
  <c r="F20" i="3"/>
  <c r="D20" i="3"/>
  <c r="J27" i="3"/>
  <c r="H27" i="3"/>
  <c r="F27" i="3"/>
  <c r="D27" i="3"/>
  <c r="J19" i="3"/>
  <c r="H19" i="3"/>
  <c r="F19" i="3"/>
  <c r="D19" i="3"/>
  <c r="J18" i="3"/>
  <c r="H18" i="3"/>
  <c r="F18" i="3"/>
  <c r="D18" i="3"/>
  <c r="J17" i="3"/>
  <c r="H17" i="3"/>
  <c r="F17" i="3"/>
  <c r="D17" i="3"/>
  <c r="J15" i="3"/>
  <c r="H15" i="3"/>
  <c r="F15" i="3"/>
  <c r="D15" i="3"/>
  <c r="J14" i="3"/>
  <c r="H14" i="3"/>
  <c r="F14" i="3"/>
  <c r="D14" i="3"/>
  <c r="J13" i="3"/>
  <c r="H13" i="3"/>
  <c r="F13" i="3"/>
  <c r="D13" i="3"/>
  <c r="J54" i="3"/>
  <c r="H54" i="3"/>
  <c r="F54" i="3"/>
  <c r="D54" i="3"/>
  <c r="J12" i="3"/>
  <c r="H12" i="3"/>
  <c r="F12" i="3"/>
  <c r="D12" i="3"/>
  <c r="J11" i="3"/>
  <c r="H11" i="3"/>
  <c r="F11" i="3"/>
  <c r="D11" i="3"/>
  <c r="O47" i="2"/>
  <c r="P47" i="2" s="1"/>
  <c r="K47" i="2"/>
  <c r="G47" i="2"/>
  <c r="C47" i="2"/>
  <c r="D47" i="2" s="1"/>
  <c r="U46" i="2"/>
  <c r="R46" i="2"/>
  <c r="N46" i="2"/>
  <c r="M46" i="2"/>
  <c r="J46" i="2"/>
  <c r="F46" i="2"/>
  <c r="D46" i="2"/>
  <c r="U45" i="2"/>
  <c r="R45" i="2"/>
  <c r="N45" i="2"/>
  <c r="J45" i="2"/>
  <c r="F45" i="2"/>
  <c r="D45" i="2"/>
  <c r="U44" i="2"/>
  <c r="R44" i="2"/>
  <c r="N44" i="2"/>
  <c r="J44" i="2"/>
  <c r="F44" i="2"/>
  <c r="D44" i="2"/>
  <c r="U43" i="2"/>
  <c r="R43" i="2"/>
  <c r="N43" i="2"/>
  <c r="J43" i="2"/>
  <c r="F43" i="2"/>
  <c r="D43" i="2"/>
  <c r="U42" i="2"/>
  <c r="R42" i="2"/>
  <c r="N42" i="2"/>
  <c r="J42" i="2"/>
  <c r="F42" i="2"/>
  <c r="D42" i="2"/>
  <c r="U41" i="2"/>
  <c r="R41" i="2"/>
  <c r="N41" i="2"/>
  <c r="J41" i="2"/>
  <c r="F41" i="2"/>
  <c r="D41" i="2"/>
  <c r="U40" i="2"/>
  <c r="R40" i="2"/>
  <c r="N40" i="2"/>
  <c r="J40" i="2"/>
  <c r="F40" i="2"/>
  <c r="D40" i="2"/>
  <c r="U39" i="2"/>
  <c r="R39" i="2"/>
  <c r="N39" i="2"/>
  <c r="J39" i="2"/>
  <c r="F39" i="2"/>
  <c r="D39" i="2"/>
  <c r="U38" i="2"/>
  <c r="R38" i="2"/>
  <c r="N38" i="2"/>
  <c r="J38" i="2"/>
  <c r="F38" i="2"/>
  <c r="D38" i="2"/>
  <c r="U37" i="2"/>
  <c r="R37" i="2"/>
  <c r="N37" i="2"/>
  <c r="J37" i="2"/>
  <c r="F37" i="2"/>
  <c r="D37" i="2"/>
  <c r="U36" i="2"/>
  <c r="R36" i="2"/>
  <c r="N36" i="2"/>
  <c r="J36" i="2"/>
  <c r="F36" i="2"/>
  <c r="D36" i="2"/>
  <c r="U35" i="2"/>
  <c r="R35" i="2"/>
  <c r="N35" i="2"/>
  <c r="J35" i="2"/>
  <c r="F35" i="2"/>
  <c r="D35" i="2"/>
  <c r="U34" i="2"/>
  <c r="R34" i="2"/>
  <c r="N34" i="2"/>
  <c r="J34" i="2"/>
  <c r="F34" i="2"/>
  <c r="D34" i="2"/>
  <c r="U32" i="2"/>
  <c r="R32" i="2"/>
  <c r="N32" i="2"/>
  <c r="J32" i="2"/>
  <c r="F32" i="2"/>
  <c r="D32" i="2"/>
  <c r="U30" i="2"/>
  <c r="R30" i="2"/>
  <c r="N30" i="2"/>
  <c r="J30" i="2"/>
  <c r="F30" i="2"/>
  <c r="D30" i="2"/>
  <c r="U29" i="2"/>
  <c r="R29" i="2"/>
  <c r="N29" i="2"/>
  <c r="J29" i="2"/>
  <c r="F29" i="2"/>
  <c r="D29" i="2"/>
  <c r="U28" i="2"/>
  <c r="R28" i="2"/>
  <c r="N28" i="2"/>
  <c r="J28" i="2"/>
  <c r="F28" i="2"/>
  <c r="D28" i="2"/>
  <c r="U31" i="2"/>
  <c r="R31" i="2"/>
  <c r="N31" i="2"/>
  <c r="J31" i="2"/>
  <c r="F31" i="2"/>
  <c r="D31" i="2"/>
  <c r="U27" i="2"/>
  <c r="R27" i="2"/>
  <c r="N27" i="2"/>
  <c r="J27" i="2"/>
  <c r="F27" i="2"/>
  <c r="D27" i="2"/>
  <c r="U25" i="2"/>
  <c r="R25" i="2"/>
  <c r="N25" i="2"/>
  <c r="J25" i="2"/>
  <c r="F25" i="2"/>
  <c r="D25" i="2"/>
  <c r="U26" i="2"/>
  <c r="R26" i="2"/>
  <c r="N26" i="2"/>
  <c r="J26" i="2"/>
  <c r="F26" i="2"/>
  <c r="D26" i="2"/>
  <c r="U24" i="2"/>
  <c r="R24" i="2"/>
  <c r="N24" i="2"/>
  <c r="M24" i="2"/>
  <c r="J24" i="2"/>
  <c r="F24" i="2"/>
  <c r="D24" i="2"/>
  <c r="U22" i="2"/>
  <c r="R22" i="2"/>
  <c r="N22" i="2"/>
  <c r="J22" i="2"/>
  <c r="F22" i="2"/>
  <c r="D22" i="2"/>
  <c r="U21" i="2"/>
  <c r="R21" i="2"/>
  <c r="N21" i="2"/>
  <c r="M21" i="2"/>
  <c r="J21" i="2"/>
  <c r="F21" i="2"/>
  <c r="D21" i="2"/>
  <c r="U20" i="2"/>
  <c r="R20" i="2"/>
  <c r="N20" i="2"/>
  <c r="J20" i="2"/>
  <c r="F20" i="2"/>
  <c r="D20" i="2"/>
  <c r="U23" i="2"/>
  <c r="R23" i="2"/>
  <c r="N23" i="2"/>
  <c r="J23" i="2"/>
  <c r="F23" i="2"/>
  <c r="D23" i="2"/>
  <c r="U19" i="2"/>
  <c r="R19" i="2"/>
  <c r="N19" i="2"/>
  <c r="J19" i="2"/>
  <c r="F19" i="2"/>
  <c r="D19" i="2"/>
  <c r="U17" i="2"/>
  <c r="R17" i="2"/>
  <c r="N17" i="2"/>
  <c r="J17" i="2"/>
  <c r="F17" i="2"/>
  <c r="D17" i="2"/>
  <c r="U16" i="2"/>
  <c r="R16" i="2"/>
  <c r="N16" i="2"/>
  <c r="J16" i="2"/>
  <c r="F16" i="2"/>
  <c r="D16" i="2"/>
  <c r="U14" i="2"/>
  <c r="R14" i="2"/>
  <c r="N14" i="2"/>
  <c r="J14" i="2"/>
  <c r="F14" i="2"/>
  <c r="D14" i="2"/>
  <c r="U13" i="2"/>
  <c r="R13" i="2"/>
  <c r="N13" i="2"/>
  <c r="J13" i="2"/>
  <c r="F13" i="2"/>
  <c r="D13" i="2"/>
  <c r="U11" i="2"/>
  <c r="R11" i="2"/>
  <c r="N11" i="2"/>
  <c r="M11" i="2"/>
  <c r="J11" i="2"/>
  <c r="F11" i="2"/>
  <c r="D11" i="2"/>
  <c r="U12" i="2"/>
  <c r="R12" i="2"/>
  <c r="N12" i="2"/>
  <c r="M12" i="2"/>
  <c r="J12" i="2"/>
  <c r="F12" i="2"/>
  <c r="D12" i="2"/>
  <c r="O41" i="1"/>
  <c r="L41" i="1"/>
  <c r="F41" i="1"/>
  <c r="J41" i="1"/>
  <c r="D41" i="1"/>
  <c r="H41" i="1"/>
  <c r="D47" i="1"/>
  <c r="J47" i="6"/>
  <c r="H47" i="1"/>
  <c r="H47" i="6"/>
  <c r="J47" i="7"/>
  <c r="N47" i="2"/>
  <c r="F47" i="8"/>
  <c r="K47" i="20"/>
  <c r="H47" i="3"/>
  <c r="L47" i="4"/>
  <c r="L47" i="19"/>
  <c r="R47" i="2"/>
  <c r="D47" i="19"/>
  <c r="D47" i="8"/>
  <c r="D44" i="5"/>
  <c r="AD46" i="24"/>
  <c r="AD47" i="24" s="1"/>
  <c r="D47" i="6"/>
  <c r="O47" i="7"/>
  <c r="O47" i="4"/>
  <c r="O47" i="8"/>
  <c r="O47" i="9"/>
  <c r="O47" i="10"/>
  <c r="O47" i="12"/>
  <c r="F47" i="2"/>
  <c r="M47" i="6"/>
  <c r="H47" i="4"/>
  <c r="H47" i="9"/>
  <c r="H47" i="10"/>
  <c r="H47" i="12"/>
  <c r="H47" i="19"/>
  <c r="F47" i="7"/>
  <c r="O47" i="11"/>
  <c r="F49" i="3"/>
  <c r="O50" i="7"/>
  <c r="M47" i="20"/>
  <c r="F47" i="11"/>
  <c r="O51" i="7"/>
  <c r="F44" i="5"/>
  <c r="H44" i="5"/>
  <c r="D47" i="7"/>
  <c r="L47" i="1"/>
  <c r="F51" i="1"/>
  <c r="M50" i="3"/>
  <c r="O52" i="7"/>
  <c r="E47" i="21"/>
  <c r="H47" i="7"/>
  <c r="D47" i="4"/>
  <c r="G47" i="20"/>
  <c r="J47" i="11"/>
  <c r="P40" i="20"/>
  <c r="I47" i="5"/>
  <c r="J47" i="5" s="1"/>
  <c r="F50" i="7"/>
  <c r="J47" i="1"/>
  <c r="O47" i="19"/>
  <c r="M47" i="22"/>
  <c r="E47" i="22"/>
  <c r="I47" i="22"/>
  <c r="AK47" i="22"/>
  <c r="AU46" i="24"/>
  <c r="AU47" i="24" s="1"/>
  <c r="AU46" i="25"/>
  <c r="AU47" i="25" s="1"/>
  <c r="J28" i="5"/>
  <c r="H47" i="11"/>
  <c r="Q47" i="20"/>
  <c r="R47" i="20" s="1"/>
  <c r="T47" i="22"/>
  <c r="AH46" i="24"/>
  <c r="AH47" i="24" s="1"/>
  <c r="F47" i="1"/>
  <c r="F47" i="6"/>
  <c r="J47" i="4"/>
  <c r="H47" i="8"/>
  <c r="J47" i="8"/>
  <c r="F47" i="9"/>
  <c r="J47" i="9"/>
  <c r="F47" i="10"/>
  <c r="J47" i="10"/>
  <c r="F47" i="12"/>
  <c r="J47" i="12"/>
  <c r="F47" i="19"/>
  <c r="J47" i="19"/>
  <c r="M47" i="2"/>
  <c r="C47" i="5"/>
  <c r="D47" i="5" s="1"/>
  <c r="D47" i="11"/>
  <c r="O47" i="13"/>
  <c r="H47" i="13"/>
  <c r="F51" i="7"/>
  <c r="H47" i="20"/>
  <c r="I47" i="20" s="1"/>
  <c r="K46" i="24"/>
  <c r="G57" i="24" s="1"/>
  <c r="S46" i="24"/>
  <c r="AJ46" i="24"/>
  <c r="AJ47" i="24" s="1"/>
  <c r="J47" i="2"/>
  <c r="U47" i="2"/>
  <c r="M51" i="3"/>
  <c r="Q46" i="24"/>
  <c r="Q47" i="24" s="1"/>
  <c r="AW46" i="24"/>
  <c r="U46" i="24"/>
  <c r="U47" i="24" s="1"/>
  <c r="O46" i="24"/>
  <c r="O47" i="24" s="1"/>
  <c r="I46" i="24"/>
  <c r="M46" i="24"/>
  <c r="G58" i="24" s="1"/>
  <c r="AF46" i="24"/>
  <c r="W46" i="24"/>
  <c r="W47" i="24" s="1"/>
  <c r="V47" i="21"/>
  <c r="Z47" i="21"/>
  <c r="R47" i="21"/>
  <c r="P47" i="21"/>
  <c r="G46" i="24"/>
  <c r="G47" i="24"/>
  <c r="AB47" i="22"/>
  <c r="V47" i="22"/>
  <c r="O47" i="22"/>
  <c r="G47" i="22"/>
  <c r="X47" i="22"/>
  <c r="R54" i="22"/>
  <c r="R53" i="22"/>
  <c r="R52" i="22"/>
  <c r="G54" i="22"/>
  <c r="G52" i="22"/>
  <c r="G53" i="22"/>
  <c r="AF47" i="22"/>
  <c r="R47" i="22"/>
  <c r="AL46" i="25"/>
  <c r="AK46" i="25"/>
  <c r="AI46" i="25"/>
  <c r="AJ46" i="25" s="1"/>
  <c r="AY46" i="25"/>
  <c r="AR46" i="25"/>
  <c r="AR47" i="25" s="1"/>
  <c r="W46" i="25"/>
  <c r="AB46" i="25"/>
  <c r="AB47" i="25" s="1"/>
  <c r="AH46" i="25"/>
  <c r="Z46" i="25"/>
  <c r="Z47" i="25" s="1"/>
  <c r="G46" i="25"/>
  <c r="M46" i="25"/>
  <c r="G66" i="25" s="1"/>
  <c r="K46" i="25"/>
  <c r="G65" i="25" s="1"/>
  <c r="Q46" i="25"/>
  <c r="Q47" i="25"/>
  <c r="AF46" i="25"/>
  <c r="AF47" i="25"/>
  <c r="AW46" i="25"/>
  <c r="AW47" i="25"/>
  <c r="O46" i="25"/>
  <c r="O47" i="25"/>
  <c r="U46" i="25"/>
  <c r="AP46" i="25"/>
  <c r="AP47" i="25" s="1"/>
  <c r="I46" i="25"/>
  <c r="S46" i="25"/>
  <c r="S47" i="25" s="1"/>
  <c r="AD46" i="25"/>
  <c r="AN46" i="25"/>
  <c r="M20" i="25"/>
  <c r="I26" i="25"/>
  <c r="Q26" i="25"/>
  <c r="AF26" i="25"/>
  <c r="AY26" i="25"/>
  <c r="AN41" i="25"/>
  <c r="G16" i="25"/>
  <c r="K16" i="25"/>
  <c r="O16" i="25"/>
  <c r="S16" i="25"/>
  <c r="G17" i="25"/>
  <c r="K17" i="25"/>
  <c r="O17" i="25"/>
  <c r="S17" i="25"/>
  <c r="G21" i="25"/>
  <c r="K21" i="25"/>
  <c r="O21" i="25"/>
  <c r="S21" i="25"/>
  <c r="G22" i="25"/>
  <c r="K22" i="25"/>
  <c r="O22" i="25"/>
  <c r="S22" i="25"/>
  <c r="AD16" i="25"/>
  <c r="AD17" i="25"/>
  <c r="AB10" i="25"/>
  <c r="AF10" i="25"/>
  <c r="AJ10" i="25"/>
  <c r="AN10" i="25"/>
  <c r="AR10" i="25"/>
  <c r="Q16" i="25"/>
  <c r="E17" i="25"/>
  <c r="I17" i="25"/>
  <c r="M17" i="25"/>
  <c r="Q17" i="25"/>
  <c r="E18" i="25"/>
  <c r="I18" i="25"/>
  <c r="M18" i="25"/>
  <c r="Q18" i="25"/>
  <c r="U18" i="25"/>
  <c r="E19" i="25"/>
  <c r="I19" i="25"/>
  <c r="M19" i="25"/>
  <c r="Q19" i="25"/>
  <c r="U19" i="25"/>
  <c r="K20" i="25"/>
  <c r="E21" i="25"/>
  <c r="I21" i="25"/>
  <c r="M21" i="25"/>
  <c r="Q21" i="25"/>
  <c r="E22" i="25"/>
  <c r="I22" i="25"/>
  <c r="M22" i="25"/>
  <c r="Q22" i="25"/>
  <c r="E23" i="25"/>
  <c r="I23" i="25"/>
  <c r="M23" i="25"/>
  <c r="Q23" i="25"/>
  <c r="U23" i="25"/>
  <c r="E24" i="25"/>
  <c r="I24" i="25"/>
  <c r="M24" i="25"/>
  <c r="Q24" i="25"/>
  <c r="U24" i="25"/>
  <c r="E25" i="25"/>
  <c r="I25" i="25"/>
  <c r="M25" i="25"/>
  <c r="Q25" i="25"/>
  <c r="U25" i="25"/>
  <c r="G26" i="25"/>
  <c r="O26" i="25"/>
  <c r="AD26" i="25"/>
  <c r="AW26" i="25"/>
  <c r="E27" i="25"/>
  <c r="I27" i="25"/>
  <c r="M27" i="25"/>
  <c r="Q27" i="25"/>
  <c r="U27" i="25"/>
  <c r="E28" i="25"/>
  <c r="I28" i="25"/>
  <c r="M28" i="25"/>
  <c r="Q28" i="25"/>
  <c r="U28" i="25"/>
  <c r="E29" i="25"/>
  <c r="I29" i="25"/>
  <c r="M29" i="25"/>
  <c r="Q29" i="25"/>
  <c r="U29" i="25"/>
  <c r="E30" i="25"/>
  <c r="I30" i="25"/>
  <c r="M30" i="25"/>
  <c r="Q30" i="25"/>
  <c r="U30" i="25"/>
  <c r="E31" i="25"/>
  <c r="I31" i="25"/>
  <c r="M31" i="25"/>
  <c r="Q31" i="25"/>
  <c r="U31" i="25"/>
  <c r="E32" i="25"/>
  <c r="I32" i="25"/>
  <c r="M32" i="25"/>
  <c r="Q32" i="25"/>
  <c r="U32" i="25"/>
  <c r="E33" i="25"/>
  <c r="I33" i="25"/>
  <c r="M33" i="25"/>
  <c r="Q33" i="25"/>
  <c r="U33" i="25"/>
  <c r="E34" i="25"/>
  <c r="I34" i="25"/>
  <c r="M34" i="25"/>
  <c r="Q34" i="25"/>
  <c r="U34" i="25"/>
  <c r="E35" i="25"/>
  <c r="I35" i="25"/>
  <c r="M35" i="25"/>
  <c r="Q35" i="25"/>
  <c r="U35" i="25"/>
  <c r="G42" i="25"/>
  <c r="K42" i="25"/>
  <c r="O42" i="25"/>
  <c r="S42" i="25"/>
  <c r="G43" i="25"/>
  <c r="K43" i="25"/>
  <c r="O43" i="25"/>
  <c r="S43" i="25"/>
  <c r="G44" i="25"/>
  <c r="K44" i="25"/>
  <c r="O44" i="25"/>
  <c r="S44" i="25"/>
  <c r="G45" i="25"/>
  <c r="K45" i="25"/>
  <c r="O45" i="25"/>
  <c r="AW10" i="25"/>
  <c r="G10" i="25"/>
  <c r="K10" i="25"/>
  <c r="O10" i="25"/>
  <c r="S10" i="25"/>
  <c r="W10" i="25"/>
  <c r="AU10" i="25"/>
  <c r="AY10" i="25"/>
  <c r="E26" i="25"/>
  <c r="M26" i="25"/>
  <c r="U26" i="25"/>
  <c r="AB35" i="25"/>
  <c r="AJ35" i="25"/>
  <c r="AN35" i="25"/>
  <c r="AB36" i="25"/>
  <c r="AJ36" i="25"/>
  <c r="AN36" i="25"/>
  <c r="AB37" i="25"/>
  <c r="AJ37" i="25"/>
  <c r="AN37" i="25"/>
  <c r="AB38" i="25"/>
  <c r="AJ38" i="25"/>
  <c r="AN38" i="25"/>
  <c r="AB39" i="25"/>
  <c r="AJ39" i="25"/>
  <c r="AN39" i="25"/>
  <c r="AB40" i="25"/>
  <c r="AJ40" i="25"/>
  <c r="AN40" i="25"/>
  <c r="AB41" i="25"/>
  <c r="AP41" i="25"/>
  <c r="Z42" i="25"/>
  <c r="AH42" i="25"/>
  <c r="Z43" i="25"/>
  <c r="AH43" i="25"/>
  <c r="AH44" i="25"/>
  <c r="G18" i="25"/>
  <c r="K18" i="25"/>
  <c r="O18" i="25"/>
  <c r="G19" i="25"/>
  <c r="K19" i="25"/>
  <c r="O19" i="25"/>
  <c r="G23" i="25"/>
  <c r="K23" i="25"/>
  <c r="O23" i="25"/>
  <c r="G24" i="25"/>
  <c r="K24" i="25"/>
  <c r="O24" i="25"/>
  <c r="G25" i="25"/>
  <c r="K25" i="25"/>
  <c r="O25" i="25"/>
  <c r="K26" i="25"/>
  <c r="G27" i="25"/>
  <c r="K27" i="25"/>
  <c r="O27" i="25"/>
  <c r="G28" i="25"/>
  <c r="K28" i="25"/>
  <c r="O28" i="25"/>
  <c r="G29" i="25"/>
  <c r="K29" i="25"/>
  <c r="O29" i="25"/>
  <c r="G30" i="25"/>
  <c r="K30" i="25"/>
  <c r="O30" i="25"/>
  <c r="G31" i="25"/>
  <c r="K31" i="25"/>
  <c r="O31" i="25"/>
  <c r="G32" i="25"/>
  <c r="K32" i="25"/>
  <c r="O32" i="25"/>
  <c r="G33" i="25"/>
  <c r="K33" i="25"/>
  <c r="O33" i="25"/>
  <c r="G34" i="25"/>
  <c r="K34" i="25"/>
  <c r="O34" i="25"/>
  <c r="O41" i="25"/>
  <c r="K47" i="21"/>
  <c r="G47" i="21"/>
  <c r="D47" i="9"/>
  <c r="M32" i="5"/>
  <c r="L47" i="10"/>
  <c r="R17" i="20"/>
  <c r="G47" i="5"/>
  <c r="H47" i="5" s="1"/>
  <c r="F47" i="4"/>
  <c r="L47" i="9"/>
  <c r="D47" i="12"/>
  <c r="Q11" i="19"/>
  <c r="L47" i="8"/>
  <c r="D47" i="10"/>
  <c r="L47" i="12"/>
  <c r="Y46" i="24"/>
  <c r="G60" i="24"/>
  <c r="G67" i="25"/>
  <c r="K47" i="25"/>
  <c r="M47" i="24" l="1"/>
  <c r="AB46" i="24"/>
  <c r="AF47" i="24"/>
  <c r="I47" i="24"/>
  <c r="AW47" i="24"/>
  <c r="S47" i="24"/>
  <c r="K47" i="24"/>
  <c r="G64" i="25"/>
  <c r="E47" i="25"/>
  <c r="AH48" i="27"/>
  <c r="AH50" i="27"/>
  <c r="BL26" i="27"/>
  <c r="W48" i="27"/>
  <c r="G66" i="26"/>
  <c r="K48" i="26"/>
  <c r="AD47" i="26"/>
  <c r="AD48" i="26" s="1"/>
  <c r="E47" i="26"/>
  <c r="Q47" i="26"/>
  <c r="Q48" i="26" s="1"/>
  <c r="G47" i="26"/>
  <c r="G48" i="26" s="1"/>
  <c r="O47" i="26"/>
  <c r="O48" i="26" s="1"/>
  <c r="S47" i="26"/>
  <c r="S48" i="26" s="1"/>
  <c r="W47" i="26"/>
  <c r="W48" i="26" s="1"/>
  <c r="Z48" i="26"/>
  <c r="G68" i="26"/>
  <c r="BL20" i="27"/>
  <c r="I50" i="27"/>
  <c r="E47" i="27"/>
  <c r="M47" i="27"/>
  <c r="M48" i="27" s="1"/>
  <c r="Y47" i="27"/>
  <c r="S47" i="27"/>
  <c r="S48" i="27" s="1"/>
  <c r="AE47" i="27"/>
  <c r="Q47" i="27"/>
  <c r="BH48" i="29"/>
  <c r="O48" i="29"/>
  <c r="O49" i="29" s="1"/>
  <c r="U48" i="29"/>
  <c r="U49" i="29" s="1"/>
  <c r="I48" i="29"/>
  <c r="M47" i="25"/>
  <c r="G68" i="25"/>
  <c r="E47" i="24"/>
  <c r="K47" i="7"/>
  <c r="L47" i="7" s="1"/>
  <c r="AD47" i="25"/>
  <c r="I47" i="25"/>
  <c r="G47" i="25"/>
  <c r="AH47" i="25"/>
  <c r="W47" i="25"/>
  <c r="AY47" i="25"/>
  <c r="L47" i="5"/>
  <c r="M47" i="5" s="1"/>
  <c r="P47" i="19"/>
  <c r="Q47" i="19" s="1"/>
  <c r="E47" i="5"/>
  <c r="F47" i="5" s="1"/>
  <c r="E34" i="20"/>
  <c r="J47" i="13"/>
  <c r="M47" i="26"/>
  <c r="G47" i="27"/>
  <c r="AF48" i="29"/>
  <c r="AR48" i="29"/>
  <c r="AR51" i="29" s="1"/>
  <c r="AT48" i="29"/>
  <c r="AT49" i="29" s="1"/>
  <c r="T47" i="21"/>
  <c r="W48" i="29"/>
  <c r="S48" i="29"/>
  <c r="S49" i="29" s="1"/>
  <c r="E48" i="27"/>
  <c r="BL19" i="27"/>
  <c r="E50" i="27"/>
  <c r="BL23" i="27"/>
  <c r="AX47" i="27"/>
  <c r="AX48" i="27" s="1"/>
  <c r="AY61" i="29"/>
  <c r="AH48" i="29"/>
  <c r="Q61" i="29"/>
  <c r="M66" i="29" s="1"/>
  <c r="AJ48" i="29"/>
  <c r="G61" i="29"/>
  <c r="M68" i="29" s="1"/>
  <c r="AN47" i="27"/>
  <c r="AN48" i="27" s="1"/>
  <c r="AT61" i="29"/>
  <c r="BA61" i="29"/>
  <c r="AJ61" i="29"/>
  <c r="AF62" i="29"/>
  <c r="BJ48" i="29"/>
  <c r="AF51" i="29"/>
  <c r="BC51" i="29"/>
  <c r="Q51" i="29"/>
  <c r="K51" i="29"/>
  <c r="K49" i="29"/>
  <c r="AJ49" i="29"/>
  <c r="AJ51" i="29"/>
  <c r="Y48" i="29"/>
  <c r="AF49" i="29"/>
  <c r="AL48" i="29"/>
  <c r="AL49" i="29" s="1"/>
  <c r="G48" i="29"/>
  <c r="G49" i="29" s="1"/>
  <c r="AN48" i="29"/>
  <c r="AC48" i="29"/>
  <c r="AC49" i="29" s="1"/>
  <c r="E48" i="29"/>
  <c r="AA48" i="29"/>
  <c r="AA49" i="29" s="1"/>
  <c r="M48" i="29"/>
  <c r="M49" i="29" s="1"/>
  <c r="AL50" i="27"/>
  <c r="AL48" i="27"/>
  <c r="BL24" i="27"/>
  <c r="BL21" i="27"/>
  <c r="O50" i="27"/>
  <c r="O48" i="27"/>
  <c r="I48" i="27"/>
  <c r="Q50" i="27"/>
  <c r="AB47" i="24" l="1"/>
  <c r="G59" i="24"/>
  <c r="AE48" i="27"/>
  <c r="BL25" i="27"/>
  <c r="G65" i="26"/>
  <c r="E48" i="26"/>
  <c r="M48" i="26"/>
  <c r="G67" i="26"/>
  <c r="Q48" i="27"/>
  <c r="I52" i="27" s="1"/>
  <c r="BL22" i="27"/>
  <c r="E49" i="29"/>
  <c r="E51" i="29"/>
</calcChain>
</file>

<file path=xl/comments1.xml><?xml version="1.0" encoding="utf-8"?>
<comments xmlns="http://schemas.openxmlformats.org/spreadsheetml/2006/main">
  <authors>
    <author>cmorenoc</author>
  </authors>
  <commentList>
    <comment ref="AK9" authorId="0">
      <text>
        <r>
          <rPr>
            <b/>
            <sz val="9"/>
            <color indexed="81"/>
            <rFont val="Tahoma"/>
            <family val="2"/>
          </rPr>
          <t>cmorenoc:</t>
        </r>
        <r>
          <rPr>
            <sz val="9"/>
            <color indexed="81"/>
            <rFont val="Tahoma"/>
            <family val="2"/>
          </rPr>
          <t xml:space="preserve">
* La cobertura alcanzada con Fiebre Amarilla en el año 2015, aparece en este valor debido a que el esquema de vacunación se corrio 6 meses, aplicándose la misma a los 18 meses de edad, desde el 1 de julio de 2015, implica que los niños pendientes supuestamente de aplicarse la vacuna, se aplicarán en el primer semestre de 2016.</t>
        </r>
      </text>
    </comment>
    <comment ref="AL47" authorId="0">
      <text>
        <r>
          <rPr>
            <b/>
            <sz val="9"/>
            <color indexed="81"/>
            <rFont val="Tahoma"/>
            <family val="2"/>
          </rPr>
          <t>cmorenoc:</t>
        </r>
        <r>
          <rPr>
            <sz val="9"/>
            <color indexed="81"/>
            <rFont val="Tahoma"/>
            <family val="2"/>
          </rPr>
          <t xml:space="preserve">
* La cobertura alcanzada con Fiebre Amarilla en el año 2015, aparece en este valor debido a que el esquema de vacunación se corrio 6 meses, aplicándose la misma a los 18 meses de edad, desde el 1 de julio de 2015, implica que los niños pendientes supuestamente de aplicarse la vacuna, se aplicarán en el primer semestre de 2016.</t>
        </r>
      </text>
    </comment>
    <comment ref="I52" authorId="0">
      <text>
        <r>
          <rPr>
            <b/>
            <sz val="9"/>
            <color indexed="81"/>
            <rFont val="Tahoma"/>
            <family val="2"/>
          </rPr>
          <t>cmorenoc:</t>
        </r>
        <r>
          <rPr>
            <sz val="9"/>
            <color indexed="81"/>
            <rFont val="Tahoma"/>
            <family val="2"/>
          </rPr>
          <t xml:space="preserve">
Promedio</t>
        </r>
      </text>
    </comment>
  </commentList>
</comments>
</file>

<file path=xl/comments2.xml><?xml version="1.0" encoding="utf-8"?>
<comments xmlns="http://schemas.openxmlformats.org/spreadsheetml/2006/main">
  <authors>
    <author>Camilo Moreno Cangrejo</author>
  </authors>
  <commentList>
    <comment ref="BH9" authorId="0">
      <text>
        <r>
          <rPr>
            <b/>
            <sz val="9"/>
            <color indexed="81"/>
            <rFont val="Tahoma"/>
            <family val="2"/>
          </rPr>
          <t>Camilo Moreno Cangrejo:</t>
        </r>
        <r>
          <rPr>
            <sz val="9"/>
            <color indexed="81"/>
            <rFont val="Tahoma"/>
            <family val="2"/>
          </rPr>
          <t xml:space="preserve">
Se comienza a aplicar a partir del mes de Julio de 2019</t>
        </r>
      </text>
    </comment>
  </commentList>
</comments>
</file>

<file path=xl/sharedStrings.xml><?xml version="1.0" encoding="utf-8"?>
<sst xmlns="http://schemas.openxmlformats.org/spreadsheetml/2006/main" count="3243" uniqueCount="530">
  <si>
    <t>COBERTURAS DE VACUNACION DE TODOS LOS BIOLOGICOS</t>
  </si>
  <si>
    <t>DEPTO</t>
  </si>
  <si>
    <t>POBLACION</t>
  </si>
  <si>
    <t>POLIO</t>
  </si>
  <si>
    <t>COBEROC</t>
  </si>
  <si>
    <t>%</t>
  </si>
  <si>
    <t>DPT</t>
  </si>
  <si>
    <t>BCG</t>
  </si>
  <si>
    <t>COBEOC</t>
  </si>
  <si>
    <t>SARAM.</t>
  </si>
  <si>
    <t>COBOC</t>
  </si>
  <si>
    <t>ANTIOQUIA</t>
  </si>
  <si>
    <t>AMAZONAS</t>
  </si>
  <si>
    <t>ARAUCA</t>
  </si>
  <si>
    <t>ATLANTICO</t>
  </si>
  <si>
    <t>BOGOTA</t>
  </si>
  <si>
    <t xml:space="preserve">BOLIVAR </t>
  </si>
  <si>
    <t>BOYACA</t>
  </si>
  <si>
    <t>CAUCA</t>
  </si>
  <si>
    <t>CALDAS</t>
  </si>
  <si>
    <t xml:space="preserve">CAQUETA </t>
  </si>
  <si>
    <t>CASANARE</t>
  </si>
  <si>
    <t>CESAR</t>
  </si>
  <si>
    <t>CORDOVA</t>
  </si>
  <si>
    <t>CHOCO</t>
  </si>
  <si>
    <t xml:space="preserve">GUAINIA </t>
  </si>
  <si>
    <t>GUAVIARE</t>
  </si>
  <si>
    <t>HUILA</t>
  </si>
  <si>
    <t>MAGDALENA</t>
  </si>
  <si>
    <t>META</t>
  </si>
  <si>
    <t>NARIÑO</t>
  </si>
  <si>
    <t>PUTUMAYO</t>
  </si>
  <si>
    <t>QUINDIO</t>
  </si>
  <si>
    <t>RISARALDA</t>
  </si>
  <si>
    <t>SAN ANDRES</t>
  </si>
  <si>
    <t>SANTANDER</t>
  </si>
  <si>
    <t>SUCRE</t>
  </si>
  <si>
    <t>TOLIMA</t>
  </si>
  <si>
    <t>VALLE</t>
  </si>
  <si>
    <t>VAUPES</t>
  </si>
  <si>
    <t>VICHADA</t>
  </si>
  <si>
    <t>TOTAL</t>
  </si>
  <si>
    <t>ACUMULADAS ENERO-DICIEMBRE DE 1995</t>
  </si>
  <si>
    <t>HEPATITIS</t>
  </si>
  <si>
    <t xml:space="preserve">MMR </t>
  </si>
  <si>
    <t>CARTAGENA</t>
  </si>
  <si>
    <t>STA MARTA</t>
  </si>
  <si>
    <t>(*): Acumulada a Diciembre de 1995</t>
  </si>
  <si>
    <t>ACUMULADAS ENERO-DICIEMBRE DE 1994</t>
  </si>
  <si>
    <t>T.T.EMB</t>
  </si>
  <si>
    <t>Acumulada a Diciembre de 1994</t>
  </si>
  <si>
    <t>EVALUACION DE COBERTURAS  DE VACUNACION POR BIOLOGICO Y DEPARTAMENTO 1996</t>
  </si>
  <si>
    <t>DPTO</t>
  </si>
  <si>
    <t>Población</t>
  </si>
  <si>
    <t>HEPATITIS B</t>
  </si>
  <si>
    <t>TRIPLE VIRAL</t>
  </si>
  <si>
    <t>&lt; 1 AÑO</t>
  </si>
  <si>
    <t>3. Dosis</t>
  </si>
  <si>
    <t>Unica Dósis</t>
  </si>
  <si>
    <t xml:space="preserve"> 1 AÑO</t>
  </si>
  <si>
    <t>Unica Dosis</t>
  </si>
  <si>
    <t>M/SALUD</t>
  </si>
  <si>
    <t>BOLIVAR</t>
  </si>
  <si>
    <t>CAQUETA</t>
  </si>
  <si>
    <t>CORDOBA</t>
  </si>
  <si>
    <t>GUAINIA</t>
  </si>
  <si>
    <t>40662</t>
  </si>
  <si>
    <t>EVALUACION DE COBERTURAS  DE VACUNACION POR BIOLOGICO Y DEPARTAMENTO   1997</t>
  </si>
  <si>
    <t>Poblacion</t>
  </si>
  <si>
    <t xml:space="preserve">          ANTIHEPA B             </t>
  </si>
  <si>
    <t xml:space="preserve">POBLACION  </t>
  </si>
  <si>
    <t>DE UN AÑO</t>
  </si>
  <si>
    <t>EVALUACION DE COBERTURAS  DE VACUNACION POR BIOLOGICO Y DEPARTAMENTO   1998</t>
  </si>
  <si>
    <t xml:space="preserve">   HEPATITIS B           </t>
  </si>
  <si>
    <t>Menor 1 año</t>
  </si>
  <si>
    <t>U. Dósis</t>
  </si>
  <si>
    <t xml:space="preserve"> UN AÑO</t>
  </si>
  <si>
    <t>U. Dosis</t>
  </si>
  <si>
    <t>COBERTURAS  DE VACUNACION POR BIOLOGICO Y DEPARTAMENTO   1999</t>
  </si>
  <si>
    <t>DEPTOS</t>
  </si>
  <si>
    <t>H.i.B</t>
  </si>
  <si>
    <t xml:space="preserve">Población </t>
  </si>
  <si>
    <t>Fecha</t>
  </si>
  <si>
    <t>3.Dosis</t>
  </si>
  <si>
    <t>de 1 año</t>
  </si>
  <si>
    <t>Envio</t>
  </si>
  <si>
    <t>XII-/99</t>
  </si>
  <si>
    <t>FUENTE: Programa MIPAISOF-III-16/00</t>
  </si>
  <si>
    <t>COBERTURAS  DE VACUNACION POR BIOLOGICO Y DEPARTAMENTO   2000</t>
  </si>
  <si>
    <t>H.i.B.</t>
  </si>
  <si>
    <t>T.V.</t>
  </si>
  <si>
    <t>U.Dósis</t>
  </si>
  <si>
    <t>De 1 año</t>
  </si>
  <si>
    <t>XII-2000</t>
  </si>
  <si>
    <t>X-2000</t>
  </si>
  <si>
    <t>Fuente:Programa MIPAISOF-III-27/01</t>
  </si>
  <si>
    <t>COBERTURAS  DE VACUNACION POR BIOLOGICO Y DEPARTAMENTO   2001( Fuente Numerador y Denominador Mipaisof)</t>
  </si>
  <si>
    <t>XII-2001</t>
  </si>
  <si>
    <t>Fuente:Programa MIPAISOF (Numerador y denominador) IV-12/2002</t>
  </si>
  <si>
    <t>COBERTURAS  DE VACUNACION POR BIOLOGICO Y DEPARTAMENTO   2002</t>
  </si>
  <si>
    <t>XII-2002</t>
  </si>
  <si>
    <t>Fuente:Programa MIPAISOF (Numerador y denominador)</t>
  </si>
  <si>
    <t>COBERTURAS  DE VACUNACION POR BIOLOGICO Y DEPARTAMENTO   2003</t>
  </si>
  <si>
    <t>XII-2003</t>
  </si>
  <si>
    <t xml:space="preserve">QUINDIO </t>
  </si>
  <si>
    <t>Fuente:Programa MIPAISOF</t>
  </si>
  <si>
    <t>Departamento</t>
  </si>
  <si>
    <t>Polio</t>
  </si>
  <si>
    <t>Hepatitis B</t>
  </si>
  <si>
    <t>Hib</t>
  </si>
  <si>
    <t>Triple Viral</t>
  </si>
  <si>
    <t>3a. Dosis</t>
  </si>
  <si>
    <t>Única Dosis</t>
  </si>
  <si>
    <t>Dic-04</t>
  </si>
  <si>
    <t>ATLÁNTICO</t>
  </si>
  <si>
    <t>BARRANQUILLA</t>
  </si>
  <si>
    <t>BOGOTÁ D.C.</t>
  </si>
  <si>
    <t>BOLÍVAR</t>
  </si>
  <si>
    <t>BOYACÁ</t>
  </si>
  <si>
    <t>CAQUETÁ</t>
  </si>
  <si>
    <t>CHOCÓ</t>
  </si>
  <si>
    <t>CÓRDOBA</t>
  </si>
  <si>
    <t>CUNDINAMARCA</t>
  </si>
  <si>
    <t>GUAINÍA</t>
  </si>
  <si>
    <t>LA GUAJIRA</t>
  </si>
  <si>
    <t>NORTE DE SANTANDER</t>
  </si>
  <si>
    <t>SAN ANDRÉS</t>
  </si>
  <si>
    <t>SANTA MARTA</t>
  </si>
  <si>
    <t>VAUPÉS</t>
  </si>
  <si>
    <t>Fecha de corte: DICIEMBRE 31 DE 2004 AJUSTADO A AGOSTO 26 DE 2005</t>
  </si>
  <si>
    <t>COBERTURAS  DE VACUNACION POR BIOLOGICO Y DEPARTAMENTO   2004</t>
  </si>
  <si>
    <t>COBERTURAS  DE VACUNACION POR BIOLOGICO Y DEPARTAMENTO   2005</t>
  </si>
  <si>
    <t>XII-2005</t>
  </si>
  <si>
    <t>Fuente:Programa MIPAISOF( Numerador y denominador)</t>
  </si>
  <si>
    <t>COBERTURAS  DE VACUNACION POR BIOLOGICO Y DEPARTAMENTO - 2006</t>
  </si>
  <si>
    <t>XII-2006</t>
  </si>
  <si>
    <t>FIEBRE AMARILLA</t>
  </si>
  <si>
    <t>COBERTURAS  DE VACUNACION POR BIOLOGICO Y DEPARTAMENTO - 2007</t>
  </si>
  <si>
    <t>XII-2007</t>
  </si>
  <si>
    <t>Fecha Envio</t>
  </si>
  <si>
    <t>CODEP</t>
  </si>
  <si>
    <t>05</t>
  </si>
  <si>
    <t>08</t>
  </si>
  <si>
    <t>09</t>
  </si>
  <si>
    <t>NORTE DE SDER</t>
  </si>
  <si>
    <t>QUINDIÓ</t>
  </si>
  <si>
    <t>REPORTE AL MES DE:</t>
  </si>
  <si>
    <t>Fecha actualizacion de Información</t>
  </si>
  <si>
    <r>
      <t xml:space="preserve">Población menor de 1 año </t>
    </r>
    <r>
      <rPr>
        <b/>
        <vertAlign val="superscript"/>
        <sz val="10"/>
        <color indexed="8"/>
        <rFont val="Arial"/>
        <family val="2"/>
      </rPr>
      <t>(1)</t>
    </r>
  </si>
  <si>
    <r>
      <t xml:space="preserve">Población de 1 año </t>
    </r>
    <r>
      <rPr>
        <b/>
        <vertAlign val="superscript"/>
        <sz val="10"/>
        <color indexed="8"/>
        <rFont val="Arial"/>
        <family val="2"/>
      </rPr>
      <t>(1)</t>
    </r>
  </si>
  <si>
    <t>COBERTURAS  DE VACUNACION POR BIOLOGICO Y DEPARTAMENTO - ENERO A DICIEMBRE 2008</t>
  </si>
  <si>
    <t>Promedio</t>
  </si>
  <si>
    <t>Biologicos</t>
  </si>
  <si>
    <t>Atlantico</t>
  </si>
  <si>
    <t>Bolivar</t>
  </si>
  <si>
    <t>Magdalena</t>
  </si>
  <si>
    <t>NORTE SANTANDER</t>
  </si>
  <si>
    <t>Población Menor 1 año</t>
  </si>
  <si>
    <t>VOP &lt;DE1 AÑO 3ras + VIP &lt;1AÑO 3as Dosis</t>
  </si>
  <si>
    <t>% VOP 3ras</t>
  </si>
  <si>
    <t>DPT MENOR DE UN AÑO
1ras. Dosis</t>
  </si>
  <si>
    <t>% DPT 1ras</t>
  </si>
  <si>
    <t>DPT MENOR DE UN AÑO
2das. Dosis</t>
  </si>
  <si>
    <t>% DPT 2das</t>
  </si>
  <si>
    <t>% DPT 3ras</t>
  </si>
  <si>
    <t>BCG RECIEN NACIDO (HASTA 28 DÍAS) + MENOR UN AÑO (29 DÍAS A 11 MESES 29 DIAS)
Dosis Unica</t>
  </si>
  <si>
    <t>% BCG</t>
  </si>
  <si>
    <t>HB MENOR DE UN AÑO + (HB &lt; 1 AÑO (ÚNICAMENTE CUANDO NO SE PUEDE COLOCAR PENTAVALENTE POR REACCION A LA DPT) 3ras Dosis</t>
  </si>
  <si>
    <t>% Hepatitis B</t>
  </si>
  <si>
    <t>Hib MENOR DE UN AÑO
3ra.Dosis</t>
  </si>
  <si>
    <t>ROTAVIRUS DE 2 A 7 MESES 29 DIAS
1ra Dosis</t>
  </si>
  <si>
    <t>% Rota 1a Dosis</t>
  </si>
  <si>
    <t>ROTAVIRUS DE 2 A 7 MESES 29 DIAS
2da Dosis</t>
  </si>
  <si>
    <t>% Rota 2da Dosis</t>
  </si>
  <si>
    <t>FLU DE 6 A 11 MESES
2da Dosis</t>
  </si>
  <si>
    <t>% FLU de 6 a 11 Meses 2da</t>
  </si>
  <si>
    <t>PoblaciónDe 1 año</t>
  </si>
  <si>
    <t>SRP (T.V.) DE UN AÑO
U.Dósis</t>
  </si>
  <si>
    <t>%TV</t>
  </si>
  <si>
    <t>F.A. 1 AÑO
U. Dósis</t>
  </si>
  <si>
    <t>%F.A.</t>
  </si>
  <si>
    <t>Neumo de (11 Meses 29 Dias)
1ra Dosis</t>
  </si>
  <si>
    <t>% Neumo de (11 Meses 29 Dias)
1ra dosis</t>
  </si>
  <si>
    <t>Neumo de (11 Meses 29 Dias)
2da Dosis</t>
  </si>
  <si>
    <t>% Neumo de (11 Meses 29 Dias)
2ra dosis</t>
  </si>
  <si>
    <t>Neumo de (12 meses)
3ra Dosis</t>
  </si>
  <si>
    <t>% Neumo de (12 meses)
3ra dosis</t>
  </si>
  <si>
    <t>Neumo de (12-23 meses)
1ra Dosis</t>
  </si>
  <si>
    <t>% Neumo de (12-23 meses)
1ra dosis</t>
  </si>
  <si>
    <t>Neumo de (12-23 meses) 2da Dosis</t>
  </si>
  <si>
    <t>Neumo de (24- 35 Meses) Dosis Unica</t>
  </si>
  <si>
    <t>VOP al año de la 3ra Dosis
1er. Ref.</t>
  </si>
  <si>
    <t>% VOP
1er Ref.</t>
  </si>
  <si>
    <t>DPT Al año de la 3ra Dosis
1er. Ref.</t>
  </si>
  <si>
    <t>% DPT
1er Ref.</t>
  </si>
  <si>
    <t>VOP 5 AÑOS
2do. Ref.</t>
  </si>
  <si>
    <t>% VOP
2do Ref.</t>
  </si>
  <si>
    <t>DPT 5 AÑOS
2do. Ref.</t>
  </si>
  <si>
    <t>% DPT
2do Ref.</t>
  </si>
  <si>
    <t>SRP (T.V.) 5 AÑOS Ref.</t>
  </si>
  <si>
    <t>% T.V.
Ref. 5 AÑOS</t>
  </si>
  <si>
    <t>FLU de 50 Años y más
UNICA</t>
  </si>
  <si>
    <t>% FLU de 50 Años y más
UNICA</t>
  </si>
  <si>
    <t>Pob. 5años 2011</t>
  </si>
  <si>
    <t>Pob. de 50 años y mas 2011</t>
  </si>
  <si>
    <t>QUINDÍO</t>
  </si>
  <si>
    <t>Fuente: Plantilla de Reporte Mensual -Sistemas de Información -PAI-MPS</t>
  </si>
  <si>
    <t>Fecha de REPORTE</t>
  </si>
  <si>
    <t>Ultima Actualización</t>
  </si>
  <si>
    <t>% Hib</t>
  </si>
  <si>
    <t>DEPARTAMENTOS</t>
  </si>
  <si>
    <t>Fuente: Programa MIPAISOF</t>
  </si>
  <si>
    <t>Diciembre 2009</t>
  </si>
  <si>
    <t>SIN REPORTE</t>
  </si>
  <si>
    <t>&lt;= 49,9%</t>
  </si>
  <si>
    <t>CRITICA</t>
  </si>
  <si>
    <t>50,0% - 79,9%</t>
  </si>
  <si>
    <t>ALTO RIESGO</t>
  </si>
  <si>
    <t>80,0 % - 94,9%</t>
  </si>
  <si>
    <t>BAJO RIESGO</t>
  </si>
  <si>
    <t>&gt;= 95,0%</t>
  </si>
  <si>
    <t>UTIL</t>
  </si>
  <si>
    <t>RANGOS</t>
  </si>
  <si>
    <t>PENTAVALENTE</t>
  </si>
  <si>
    <t>Fecha de Reporte:</t>
  </si>
  <si>
    <t>Ultima Actualizacion:</t>
  </si>
  <si>
    <t>HB RECIEN NACIDO (HASTA 28 DÍAS)</t>
  </si>
  <si>
    <t>Fuente: Plantillas de Reporte Mensual - Sistemas de Información - MPS</t>
  </si>
  <si>
    <t>Fecha de Corte</t>
  </si>
  <si>
    <t>Actualización:</t>
  </si>
  <si>
    <t>Grafica 6. Resultados de Coberturas de Biológicos trazadores 
Diciembre de 2012</t>
  </si>
  <si>
    <t>VOP &lt;1 AÑO 3ras</t>
  </si>
  <si>
    <t>DPT &lt;1 AÑO 3ras</t>
  </si>
  <si>
    <t>BCG &lt;1 AÑO - Unica</t>
  </si>
  <si>
    <t>SRP (T.V.) AÑO EDAD - Única</t>
  </si>
  <si>
    <t>FA 1 AÑO - Única</t>
  </si>
  <si>
    <t>Cob. ESPERADA</t>
  </si>
  <si>
    <t>DPT MENOR DE UN AÑO 3ras. Dosis</t>
  </si>
  <si>
    <t>&gt;=100,01</t>
  </si>
  <si>
    <t xml:space="preserve"> 95,00% - 100,00%</t>
  </si>
  <si>
    <t xml:space="preserve"> 90,00% - 94,99%</t>
  </si>
  <si>
    <t xml:space="preserve"> 80,00% - 89,99%</t>
  </si>
  <si>
    <t xml:space="preserve"> 50,00% - 79,99%</t>
  </si>
  <si>
    <t xml:space="preserve"> 0,01% - &lt;= 49,99%</t>
  </si>
  <si>
    <t>SIN REPORTE 0,0</t>
  </si>
  <si>
    <t>08001</t>
  </si>
  <si>
    <t>Cobertura a Diciembre 99,9%</t>
  </si>
  <si>
    <t>RANGOS A DICIEMBRE</t>
  </si>
  <si>
    <t>&gt;=100,01%</t>
  </si>
  <si>
    <t>Grafica 6. Resultados de Coberturas de Biológicos trazadores Diciembre de 2013</t>
  </si>
  <si>
    <t>95,00% - 100,01%</t>
  </si>
  <si>
    <t>90,00% - 94,99%</t>
  </si>
  <si>
    <t>80,00% - 89,99%</t>
  </si>
  <si>
    <t>50,00% - 79,99%</t>
  </si>
  <si>
    <t>0,1 - 49,99%</t>
  </si>
  <si>
    <t>81</t>
  </si>
  <si>
    <t>13</t>
  </si>
  <si>
    <t>13001</t>
  </si>
  <si>
    <t>15</t>
  </si>
  <si>
    <t>17</t>
  </si>
  <si>
    <t>18</t>
  </si>
  <si>
    <t>85</t>
  </si>
  <si>
    <t>19</t>
  </si>
  <si>
    <t>20</t>
  </si>
  <si>
    <t>27</t>
  </si>
  <si>
    <t>25</t>
  </si>
  <si>
    <t>94</t>
  </si>
  <si>
    <t>95</t>
  </si>
  <si>
    <t>41</t>
  </si>
  <si>
    <t>44</t>
  </si>
  <si>
    <t>47</t>
  </si>
  <si>
    <t>47001</t>
  </si>
  <si>
    <t>50</t>
  </si>
  <si>
    <t>52</t>
  </si>
  <si>
    <t>54</t>
  </si>
  <si>
    <t>86</t>
  </si>
  <si>
    <t>63</t>
  </si>
  <si>
    <t>68</t>
  </si>
  <si>
    <t>88</t>
  </si>
  <si>
    <t>66</t>
  </si>
  <si>
    <t>70</t>
  </si>
  <si>
    <t>73</t>
  </si>
  <si>
    <t>76</t>
  </si>
  <si>
    <t>97</t>
  </si>
  <si>
    <t>99</t>
  </si>
  <si>
    <t>% hb</t>
  </si>
  <si>
    <t>Población de 1 Año
(Meta Programatica)</t>
  </si>
  <si>
    <t>Población
5 Años
Meta Programatica</t>
  </si>
  <si>
    <t>Población Menor 1 año
(Meta Programatica)</t>
  </si>
  <si>
    <t>Población
Menor 1 año</t>
  </si>
  <si>
    <t>Población 
De 1 año</t>
  </si>
  <si>
    <t>Población Menor 1 año
(Meta Programática)</t>
  </si>
  <si>
    <t>FLU DE 12 A 23  MESES  + UNICA
2da Dosis</t>
  </si>
  <si>
    <t>% FLU DE 12 A 23  MESES  + UNICA</t>
  </si>
  <si>
    <t>Población de 1 Año (Meta  Programática)</t>
  </si>
  <si>
    <t>HA
1 AÑO
U. Dósis</t>
  </si>
  <si>
    <t>% HA
1 AÑO</t>
  </si>
  <si>
    <t>Población 5 años ((Meta Programática)</t>
  </si>
  <si>
    <t>FLU de 50 a 59 Años
UNICA</t>
  </si>
  <si>
    <t>FLU de 60 Años y más
UNICA</t>
  </si>
  <si>
    <t>Gestantes a partir de la semana 14
UNICA</t>
  </si>
  <si>
    <t>% Neumo de (12-23 meses)</t>
  </si>
  <si>
    <t>% Neumo de (24- 35 Meses)</t>
  </si>
  <si>
    <t>11</t>
  </si>
  <si>
    <t>Actualizado:</t>
  </si>
  <si>
    <t xml:space="preserve">TITULO </t>
  </si>
  <si>
    <t xml:space="preserve">FECHA DE ELABORACION </t>
  </si>
  <si>
    <t>DIRECCIÓN/ OFICINA</t>
  </si>
  <si>
    <t>COBERTURAS DE VACUNACIÓN POR BIOLOGICOS Y  DEPARTAMENTO - DICIEMBRE DE 2013</t>
  </si>
  <si>
    <t>Dirección de Promoción y Prevención - Programa - PAI</t>
  </si>
  <si>
    <t>COBERTURAS DE VACUNACIÓN POR BIOLOGICOS Y  DEPARTAMENTO - DICIEMBRE DE 2012</t>
  </si>
  <si>
    <t>COBERTURAS DE VACUNACIÓN POR BIOLOGICOS Y  DEPARTAMENTO - DICIEMBRE DE 2011</t>
  </si>
  <si>
    <t>Dirección General de Salud Pública * Programa Ampliado de Inmunizaciones - PAI</t>
  </si>
  <si>
    <t>COBERTURAS DE VACUNACIÓN POR BIOLOGICOS Y  DEPARTAMENTO - DICIEMBRE DE 2010</t>
  </si>
  <si>
    <t>COBERTURAS DE VACUNACIÓN POR BIOLOGICOS Y  DEPARTAMENTO - DICIEMBRE DE 2009</t>
  </si>
  <si>
    <t>COBERTURAS DE VACUNACIÓN POR BIOLOGICOS Y  DEPARTAMENTO - DICIEMBRE DE 2008</t>
  </si>
  <si>
    <t>COBERTURAS DE VACUNACIÓN POR BIOLOGICOS Y  DEPARTAMENTO - DICIEMBRE DE 2007</t>
  </si>
  <si>
    <t>COBERTURAS DE VACUNACIÓN POR BIOLOGICOS Y  DEPARTAMENTO - DICIEMBRE DE 2006</t>
  </si>
  <si>
    <t>COBERTURAS DE VACUNACIÓN POR BIOLOGICOS Y  DEPARTAMENTO - DICIEMBRE DE 2004</t>
  </si>
  <si>
    <t>COBERTURAS DE VACUNACIÓN POR BIOLOGICOS Y  DEPARTAMENTO - DICIEMBRE DE 2005</t>
  </si>
  <si>
    <t>COBERTURAS DE VACUNACIÓN POR BIOLOGICOS Y  DEPARTAMENTO - DICIEMBRE DE 2003</t>
  </si>
  <si>
    <t>COBERTURAS DE VACUNACIÓN POR BIOLOGICOS Y  DEPARTAMENTO - DICIEMBRE DE 2002</t>
  </si>
  <si>
    <t>COBERTURAS DE VACUNACIÓN POR BIOLOGICOS Y  DEPARTAMENTO - DICIEMBRE DE 2001</t>
  </si>
  <si>
    <t>COBERTURAS DE VACUNACIÓN POR BIOLOGICOS Y  DEPARTAMENTO - DICIEMBRE DE 2000</t>
  </si>
  <si>
    <t>COBERTURAS DE VACUNACIÓN POR BIOLOGICOS Y  DEPARTAMENTO - DICIEMBRE DE 1999</t>
  </si>
  <si>
    <t>COBERTURAS DE VACUNACIÓN POR BIOLOGICOS Y  DEPARTAMENTO - DICIEMBRE DE 1998</t>
  </si>
  <si>
    <t>COBERTURAS DE VACUNACIÓN POR BIOLOGICOS Y  DEPARTAMENTO - DICIEMBRE DE 1997</t>
  </si>
  <si>
    <t>COBERTURAS DE VACUNACIÓN POR BIOLOGICOS Y  DEPARTAMENTO - DICIEMBRE DE 1996</t>
  </si>
  <si>
    <t>COBERTURAS DE VACUNACIÓN POR BIOLOGICOS Y  DEPARTAMENTO - DICIEMBRE DE 1995</t>
  </si>
  <si>
    <t>COBERTURAS DE VACUNACIÓN POR BIOLOGICOS Y  DEPARTAMENTO - DICIEMBRE DE 1994</t>
  </si>
  <si>
    <t>COBERTURAS DE VACUNACIÓN POR BIOLOGICOS Y  DEPARTAMENTO - DICIEMBRE DE 2014</t>
  </si>
  <si>
    <t>BUENAVENTURA</t>
  </si>
  <si>
    <t>76109</t>
  </si>
  <si>
    <t>Grafica 6. Resultados de Coberturas de Biológicos trazadores Diciembre de 2014</t>
  </si>
  <si>
    <t>&gt;100,00</t>
  </si>
  <si>
    <t xml:space="preserve"> 95,00% - 99,99%</t>
  </si>
  <si>
    <t xml:space="preserve"> 90,00 - 94,99%</t>
  </si>
  <si>
    <t xml:space="preserve"> 80,00 - 89,99%</t>
  </si>
  <si>
    <t xml:space="preserve"> 50,00 - 79,99%</t>
  </si>
  <si>
    <t xml:space="preserve"> 0,1 - &lt;= 49,99%</t>
  </si>
  <si>
    <t>Cobertura a Diciembre 95,0%</t>
  </si>
  <si>
    <t>FLU DE 18 A 49 AÑOS UNICA</t>
  </si>
  <si>
    <t>Gestantes a partir de la semana 14 ÚNICA</t>
  </si>
  <si>
    <t>REGION</t>
  </si>
  <si>
    <t>AMAZONIA</t>
  </si>
  <si>
    <t>ANDINA</t>
  </si>
  <si>
    <t>LLANOS</t>
  </si>
  <si>
    <t>CARIBE</t>
  </si>
  <si>
    <t>BOGOTA D.C.</t>
  </si>
  <si>
    <t>(VIP) PARENTERAL
&lt;  DE 1 AÑO 1a.Dosis</t>
  </si>
  <si>
    <t>VOP
&lt;1 AÑO
3ras</t>
  </si>
  <si>
    <t>DPT
&lt;1 AÑO
3ras</t>
  </si>
  <si>
    <t>PACIFICO</t>
  </si>
  <si>
    <t>BCG
&lt;1 AÑO
- Unica</t>
  </si>
  <si>
    <t>SRP (T.V.)
AÑO EDAD
- Única</t>
  </si>
  <si>
    <t>FA
1 AÑO 
- Única</t>
  </si>
  <si>
    <t>Neumo (11 Meses 29 Dias) 2da Dosis</t>
  </si>
  <si>
    <t>ROTA (2 - 4 MESES 29 DIAS) 2das Dosis</t>
  </si>
  <si>
    <t>Cob. 
ESPERADA</t>
  </si>
  <si>
    <t>SAN ANDRES ISLA</t>
  </si>
  <si>
    <t>VALLE DEL CAUCA</t>
  </si>
  <si>
    <t>* La cobertura alcanzada con Fiebre Amarilla en el año 2015, aparece en este valor debido a que el esquema de vacunación se corrio 6 meses, aplicándose la misma a los 18 meses de edad, desde el 1 de julio de 2015, implica que los niños pendientes supuestamente de aplicarse la vacuna, se aplicarán en el primer semestre de 2016.</t>
  </si>
  <si>
    <t>TRAZADOR PENTAVALENTE</t>
  </si>
  <si>
    <t>VARICELA MEDIA COHORTE</t>
  </si>
  <si>
    <t>&gt;=</t>
  </si>
  <si>
    <t>Población Menor 1 año (Meta Programática)</t>
  </si>
  <si>
    <t>% 2as Dosis</t>
  </si>
  <si>
    <t>VOP &lt;DE1 AÑO + VIP &lt;1AÑO 2as Dosis</t>
  </si>
  <si>
    <t>% 1as Dosis</t>
  </si>
  <si>
    <t>ANTIPOLIO INACTIVADA (VIP) PARENTERAL
&lt;  DE 1 AÑO 1a. Dosis</t>
  </si>
  <si>
    <t>% 3as Dosis</t>
  </si>
  <si>
    <t>VOP &lt;DE1 AÑO + VIP &lt;1AÑO 3as. Dosis</t>
  </si>
  <si>
    <t>DPT MENOR DE UN AÑO 1as. Dosis</t>
  </si>
  <si>
    <t>DPT MENOR DE UN AÑO 2as. Dosis</t>
  </si>
  <si>
    <t>% 2as. Dosis</t>
  </si>
  <si>
    <t>% 3as. Dosis</t>
  </si>
  <si>
    <t>BCG RECIEN NACIDO (HASTA 28 DÍAS) + MENOR UN AÑO (29 DÍAS A 11 MESES 29 DIAS) D. Unica</t>
  </si>
  <si>
    <t>% D. Unica</t>
  </si>
  <si>
    <t>HB RECIEN NACIDO (HASTA 28 DÍAS) D. Unica</t>
  </si>
  <si>
    <t>ROTAVIRUS DE 2 A 4 MESES 29 DIAS 1a Dosis</t>
  </si>
  <si>
    <t>% 1a Dosis</t>
  </si>
  <si>
    <t>ROTAVIRUS DE 2 A 4 MESES 29 DIAS 2a Dosis</t>
  </si>
  <si>
    <t>% 2a Dosis</t>
  </si>
  <si>
    <t>FLU DE 6 A 11 MESES  1a Dosis</t>
  </si>
  <si>
    <t>FLU DE 6 A 11 MESES  2a Dosis</t>
  </si>
  <si>
    <t>Neumo de (2 a 11 Meses 29 Dias) 1ra Dosis</t>
  </si>
  <si>
    <t>% 1ra Dosis</t>
  </si>
  <si>
    <t>% 2da Dosis</t>
  </si>
  <si>
    <t>Neumo de (2 a 11 Meses 29 Dias) 2da Dosis</t>
  </si>
  <si>
    <t>Población de 1 Año (Meta Programática )</t>
  </si>
  <si>
    <t>VARICELA DE 1 AÑO - 1a Dosis</t>
  </si>
  <si>
    <t>F.A. 1 AÑO U.Dósis</t>
  </si>
  <si>
    <t>% U.Dósis</t>
  </si>
  <si>
    <t>Neumo de (12 meses) 3ra Dosis</t>
  </si>
  <si>
    <t>% 3ra Dosis</t>
  </si>
  <si>
    <t>Neumo de (12-23 meses) - 1ra Dosis</t>
  </si>
  <si>
    <t>HA
1 AÑO - U. Dósis</t>
  </si>
  <si>
    <t>% U. Dósis</t>
  </si>
  <si>
    <t>VOP Al año de la 3ra Dosis - 1er. Ref.</t>
  </si>
  <si>
    <t>% 1er. Ref.</t>
  </si>
  <si>
    <t>DPT Al año de la 3ra Dosis - 1er. Ref.</t>
  </si>
  <si>
    <t>Población 5 años (Meta Programática)</t>
  </si>
  <si>
    <t>VOP 5 AÑOS - 2do. Ref.</t>
  </si>
  <si>
    <t>% 2do. Ref.</t>
  </si>
  <si>
    <t>DPT 5 AÑOS- 2do. Ref.</t>
  </si>
  <si>
    <t>SRP (T.V.) 5 AÑOS - Ref.</t>
  </si>
  <si>
    <t>% Ref.</t>
  </si>
  <si>
    <t>FLU DE 50 AÑOS Y MAS 
UNICA</t>
  </si>
  <si>
    <t>DPT MENOR DE UN AÑO 3as. Dosis</t>
  </si>
  <si>
    <t>SRP (T.V.) DE UN AÑO U.Dósis</t>
  </si>
  <si>
    <t>COBERTURAS DE VACUNACIÓN POR BIOLOGICOS Y  DEPARTAMENTO - DICIEMBRE DE 2015</t>
  </si>
  <si>
    <t>Grafica 6. Resultados de Coberturas de Biológicos trazadores - Diciembre de 2015</t>
  </si>
  <si>
    <t>Población Menor 1 año (Meta</t>
  </si>
  <si>
    <t>BCG RECIEN NACIDO (HASTA 29 DÍAS) + MENOR UN AÑO (A PARTIR DE 30 DIAS HASTA 11 MESES 29 DIAS)</t>
  </si>
  <si>
    <t>HB RECIEN NACIDO (HASTA 29 DÍAS)</t>
  </si>
  <si>
    <t>ANTIPOLIO INACTIVADA (VIP) PARENTERAL
&lt;  DE 1 AÑO</t>
  </si>
  <si>
    <t>VOP &lt;DE1 AÑO + VIP &lt;1AÑO 3as</t>
  </si>
  <si>
    <t>PENTA MENOR DE UN AÑO</t>
  </si>
  <si>
    <t>ROTAVIRUS DE 2 A 3 MESES Y 21 DIAS</t>
  </si>
  <si>
    <t>ROTAVIRUS DE 4 A 11 MESES Y 29 DIAS</t>
  </si>
  <si>
    <t xml:space="preserve">FLU DE 6 MESES A 11 MESES </t>
  </si>
  <si>
    <t>Neumo (2 a 11 Meses 29 Dias)</t>
  </si>
  <si>
    <t>Población de 1 Año (Meta</t>
  </si>
  <si>
    <t>SRP (T.V.) DE UN AÑO</t>
  </si>
  <si>
    <t>VARICELA DE 1 AÑO
1a</t>
  </si>
  <si>
    <t>F.A. 1 AÑO</t>
  </si>
  <si>
    <t>Neumo de (12 meses a 23 Meses)</t>
  </si>
  <si>
    <t>Neumo de (12-23 Meses)</t>
  </si>
  <si>
    <t>Neumo de (24- 35 Meses)</t>
  </si>
  <si>
    <t>HA
1 AÑO</t>
  </si>
  <si>
    <t>VOP Al año de la 3ra Dosis</t>
  </si>
  <si>
    <t>DPT Al año de la 3ra Dosis</t>
  </si>
  <si>
    <t>Población 5 años (Meta</t>
  </si>
  <si>
    <t>VOP 5 AÑOS</t>
  </si>
  <si>
    <t>DPT 5 AÑOS</t>
  </si>
  <si>
    <t>SRP (T.V.) 5 AÑOS</t>
  </si>
  <si>
    <t>FLU de 19 a 49 años ÚNICA</t>
  </si>
  <si>
    <t>FLU de 50 años y más</t>
  </si>
  <si>
    <t>Gestantes a partir de la semana 14</t>
  </si>
  <si>
    <t xml:space="preserve">TdaP ACELULAR GESTANTES DE 10 AÑOS Y MAS  </t>
  </si>
  <si>
    <t>TOTAL DOSIS</t>
  </si>
  <si>
    <t>Programática)</t>
  </si>
  <si>
    <t>Dosis Unica</t>
  </si>
  <si>
    <t>D. Unica</t>
  </si>
  <si>
    <t>1ras. Dosis</t>
  </si>
  <si>
    <t>2das. Dosis</t>
  </si>
  <si>
    <t>3ras .Dosis</t>
  </si>
  <si>
    <t>1ra Dosis</t>
  </si>
  <si>
    <t>2da Dosis</t>
  </si>
  <si>
    <t>Programática )</t>
  </si>
  <si>
    <t>REF.</t>
  </si>
  <si>
    <t>1er. Ref.</t>
  </si>
  <si>
    <t>2do. Ref.</t>
  </si>
  <si>
    <t>Ref.</t>
  </si>
  <si>
    <t>UNICA</t>
  </si>
  <si>
    <t>UNICA DOSIS EN CADA EMBARAZO</t>
  </si>
  <si>
    <t>Neumo (2 a 11 Meses 29 Dias) 2das</t>
  </si>
  <si>
    <t>SRP (T.V.)
AÑO EDAD 
- Única</t>
  </si>
  <si>
    <t>HA 1 AÑO Única</t>
  </si>
  <si>
    <t>Neumo de (12 meses a 23 Meses) Ref.</t>
  </si>
  <si>
    <t>SRP (T.V.) 5 Años Ref.</t>
  </si>
  <si>
    <t>COBERTURAS DE VACUNACIÓN POR BIOLOGICOS Y  DEPARTAMENTO - DICIEMBRE DE 2016</t>
  </si>
  <si>
    <t>Grafica 6. Resultados de Coberturas de Biológicos trazadores * Diciembre de 2016</t>
  </si>
  <si>
    <t>&gt;=100,00</t>
  </si>
  <si>
    <t xml:space="preserve"> 0,1%  - &lt;= 49,99%</t>
  </si>
  <si>
    <t xml:space="preserve"> 95,00 - 100,00%</t>
  </si>
  <si>
    <t xml:space="preserve">  50,00 - 79,99%</t>
  </si>
  <si>
    <t>HEPATITIS B RECIEN NACIDO (HASTA 29 DÍAS) RECIEN NACIDO (Primeras 12 Horas)</t>
  </si>
  <si>
    <t>HEPATITIS B RECIEN NACIDO (HASTA 29 DÍAS) RECIEN NACIDO (Despues de las Primeras 12 Horas)</t>
  </si>
  <si>
    <t>HB RECIEN NACIDO (HASTA 29 DÍAS) (Primeras 12 Horas)+ Despues de las primeras 12 horas</t>
  </si>
  <si>
    <t>VPH</t>
  </si>
  <si>
    <t>1a</t>
  </si>
  <si>
    <t>2a</t>
  </si>
  <si>
    <t>3a</t>
  </si>
  <si>
    <t>Grafica 6. Resultados de Coberturas Nacionales de Biológicos trazadores * Diciembre de 2017</t>
  </si>
  <si>
    <t>Nacional</t>
  </si>
  <si>
    <t>Depto</t>
  </si>
  <si>
    <t>Cob. ESPERADA (95%)</t>
  </si>
  <si>
    <t>Grafica 7. Resultados de Cobertura Departamental de Biológicos trazadores * Diciembre de 2017</t>
  </si>
  <si>
    <t>&gt;99,99</t>
  </si>
  <si>
    <t>COBERTURAS DE VACUNACIÓN POR BIOLOGICOS Y  DEPARTAMENTO - DICIEMBRE DE 2017</t>
  </si>
  <si>
    <t>Pob. VPH Niñas de 9 años</t>
  </si>
  <si>
    <t>LA_GUAJIRA</t>
  </si>
  <si>
    <t>NORTE_DE_SANTANDER</t>
  </si>
  <si>
    <t>SAN_ANDRES_ISLAS</t>
  </si>
  <si>
    <t>VALLE_DEL_CAUCA</t>
  </si>
  <si>
    <t>Convenciones</t>
  </si>
  <si>
    <t>Grafica 6. Resultados de Coberturas Nacionales de Biológicos trazadores *  Diciembre de 2018</t>
  </si>
  <si>
    <t>&gt;99,00</t>
  </si>
  <si>
    <t xml:space="preserve"> 95,00% - 99,00%</t>
  </si>
  <si>
    <t>3ras. Dosis</t>
  </si>
  <si>
    <t>(Meta Programática)</t>
  </si>
  <si>
    <t>Meta Programática)</t>
  </si>
  <si>
    <t>Dosis Ref.</t>
  </si>
  <si>
    <t xml:space="preserve">  (DANE) 30%</t>
  </si>
  <si>
    <t>U. D. C/ embarazo</t>
  </si>
  <si>
    <t>VPH 1a Dosis</t>
  </si>
  <si>
    <t>VPH 2a Dosis</t>
  </si>
  <si>
    <t>ord</t>
  </si>
  <si>
    <t>Or</t>
  </si>
  <si>
    <t>91</t>
  </si>
  <si>
    <t>23</t>
  </si>
  <si>
    <t>SAN_ANDRES_ISLA</t>
  </si>
  <si>
    <t>Grafica 6. Resultados de Coberturas Nacionales de Biológicos trazadores *  Diciembre de 2019</t>
  </si>
  <si>
    <t>(VIP) PARENTERAL
&lt;  DE 1 Año 1a.Dosis</t>
  </si>
  <si>
    <t>VOP
&lt;1 Año
3ras</t>
  </si>
  <si>
    <t>DPT
&lt;1 Año 
3ras</t>
  </si>
  <si>
    <t>ROTAVIRUS de 4 a 11 MESES 
29 DIAS 2a Dosis</t>
  </si>
  <si>
    <t>FLU de 6 a 11 Meses
2a Dosis</t>
  </si>
  <si>
    <t>SRP (T.V.)
Año edad</t>
  </si>
  <si>
    <t>HA 1 Año Única</t>
  </si>
  <si>
    <t>Varicela 1 año</t>
  </si>
  <si>
    <t>F.A. 1 Año</t>
  </si>
  <si>
    <t>Varicela 5 años</t>
  </si>
  <si>
    <t>Grafica 7. Resultados de Cobertura Departamental de Biológicos trazadores *  de 2018</t>
  </si>
  <si>
    <t xml:space="preserve"> 0,1%  - &lt;=49,99%</t>
  </si>
  <si>
    <t>COBERTURAS DE VACUNACIÓN POR BIOLOGICOS Y  DEPARTAMENTO - DICIEMBRE DE 2018</t>
  </si>
  <si>
    <t>3ras Dosis</t>
  </si>
  <si>
    <t>Población de 1 Año</t>
  </si>
  <si>
    <t>Población 5 años</t>
  </si>
  <si>
    <t>VARICELA DE 5 AÑOS</t>
  </si>
  <si>
    <t>FLU DE 18 A 40 AÑOS UNICA</t>
  </si>
  <si>
    <t>FLU DE 41 A 59 AÑOS UNICA</t>
  </si>
  <si>
    <t>Población &gt; de 60 años</t>
  </si>
  <si>
    <t>FLU DE 60 AÑOS Y MAS</t>
  </si>
  <si>
    <t>FLU Gestantes a partir de la semana 14</t>
  </si>
  <si>
    <t>VPH Niñas de 9 años</t>
  </si>
  <si>
    <t>COBERTURAS DE VACUNACIÓN POR BIOLOGICOS Y  DEPARTAMENTO - DICIEMBRE DE 2019</t>
  </si>
  <si>
    <t>FLU DE 50 Y MAS AÑOS ÚNICA</t>
  </si>
  <si>
    <t>Pob. de 50  y mas años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</si>
</sst>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164" formatCode="_(* #,##0.00_);_(* \(#,##0.00\);_(* &quot;-&quot;??_);_(@_)"/>
    <numFmt numFmtId="165" formatCode="_-* #,##0.00\ _€_-;\-* #,##0.00\ _€_-;_-* &quot;-&quot;??\ _€_-;_-@_-"/>
    <numFmt numFmtId="166" formatCode="_ * #,##0.00_ ;_ * \-#,##0.00_ ;_ * &quot;-&quot;??_ ;_ @_ "/>
    <numFmt numFmtId="167" formatCode="0.0"/>
    <numFmt numFmtId="168" formatCode="dd/mm/yy;@"/>
    <numFmt numFmtId="169" formatCode="_ * #,##0_ ;_ * \-#,##0_ ;_ * &quot;-&quot;??_ ;_ @_ "/>
    <numFmt numFmtId="170" formatCode="_ * #,##0.0_ ;_ * \-#,##0.0_ ;_ * &quot;-&quot;??_ ;_ @_ "/>
    <numFmt numFmtId="171" formatCode="_(* #,##0_);_(* \(#,##0\);_(* &quot;-&quot;??_);_(@_)"/>
    <numFmt numFmtId="172" formatCode="_-* #,##0\ _€_-;\-* #,##0\ _€_-;_-* &quot;-&quot;??\ _€_-;_-@_-"/>
    <numFmt numFmtId="173" formatCode="_(* #,##0.0_);_(* \(#,##0.0\);_(* &quot;-&quot;??_);_(@_)"/>
    <numFmt numFmtId="174" formatCode="#,##0\ _€"/>
    <numFmt numFmtId="175" formatCode="mmmm\-yyyy"/>
    <numFmt numFmtId="176" formatCode="_(* #,##0.0_);_(* \(#,##0.0\);_(* &quot;-&quot;?_);_(@_)"/>
    <numFmt numFmtId="177" formatCode="#,##0.0"/>
    <numFmt numFmtId="178" formatCode="mmmm\ \-\ yyyy"/>
    <numFmt numFmtId="179" formatCode="0.000"/>
  </numFmts>
  <fonts count="13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8"/>
      <color indexed="8"/>
      <name val="Arial"/>
      <family val="2"/>
    </font>
    <font>
      <b/>
      <sz val="10"/>
      <color indexed="18"/>
      <name val="Arial"/>
      <family val="2"/>
    </font>
    <font>
      <sz val="10"/>
      <color indexed="18"/>
      <name val="Arial"/>
      <family val="2"/>
    </font>
    <font>
      <sz val="8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i/>
      <sz val="10"/>
      <name val="Arial"/>
      <family val="2"/>
    </font>
    <font>
      <b/>
      <i/>
      <sz val="10"/>
      <color indexed="8"/>
      <name val="Arial"/>
      <family val="2"/>
    </font>
    <font>
      <i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i/>
      <sz val="10"/>
      <color indexed="18"/>
      <name val="Arial"/>
      <family val="2"/>
    </font>
    <font>
      <b/>
      <sz val="6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b/>
      <sz val="8"/>
      <color indexed="10"/>
      <name val="Arial"/>
      <family val="2"/>
    </font>
    <font>
      <sz val="8"/>
      <color theme="1"/>
      <name val="Arial"/>
      <family val="2"/>
    </font>
    <font>
      <sz val="9"/>
      <color theme="0"/>
      <name val="Arial"/>
      <family val="2"/>
    </font>
    <font>
      <sz val="9"/>
      <color rgb="FFFF0000"/>
      <name val="Arial"/>
      <family val="2"/>
    </font>
    <font>
      <b/>
      <sz val="9"/>
      <color theme="6" tint="0.79998168889431442"/>
      <name val="Arial"/>
      <family val="2"/>
    </font>
    <font>
      <b/>
      <sz val="9"/>
      <color theme="7" tint="0.79998168889431442"/>
      <name val="Arial"/>
      <family val="2"/>
    </font>
    <font>
      <sz val="8"/>
      <color indexed="8"/>
      <name val="Arial"/>
      <family val="2"/>
    </font>
    <font>
      <sz val="9"/>
      <color theme="2" tint="-9.9978637043366805E-2"/>
      <name val="Arial"/>
      <family val="2"/>
    </font>
    <font>
      <sz val="9"/>
      <color indexed="9"/>
      <name val="Arial"/>
      <family val="2"/>
    </font>
    <font>
      <b/>
      <sz val="9"/>
      <color indexed="9"/>
      <name val="Arial"/>
      <family val="2"/>
    </font>
    <font>
      <b/>
      <i/>
      <sz val="9"/>
      <name val="Arial"/>
      <family val="2"/>
    </font>
    <font>
      <sz val="8"/>
      <color theme="1"/>
      <name val="Calibri"/>
      <family val="2"/>
      <scheme val="minor"/>
    </font>
    <font>
      <sz val="12"/>
      <color indexed="8"/>
      <name val="Calibri"/>
      <family val="2"/>
    </font>
    <font>
      <sz val="7"/>
      <color theme="1"/>
      <name val="Calibri"/>
      <family val="2"/>
      <scheme val="minor"/>
    </font>
    <font>
      <b/>
      <sz val="7"/>
      <name val="Arial"/>
      <family val="2"/>
    </font>
    <font>
      <b/>
      <sz val="7"/>
      <color theme="1"/>
      <name val="Calibri"/>
      <family val="2"/>
      <scheme val="minor"/>
    </font>
    <font>
      <sz val="10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Arial"/>
      <family val="2"/>
    </font>
    <font>
      <sz val="7"/>
      <color theme="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9" tint="0.79998168889431442"/>
      <name val="Calibri"/>
      <family val="2"/>
      <scheme val="minor"/>
    </font>
    <font>
      <sz val="8"/>
      <color indexed="8"/>
      <name val="Calibri"/>
      <family val="2"/>
    </font>
    <font>
      <sz val="8"/>
      <color theme="7" tint="0.3999755851924192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b/>
      <sz val="8"/>
      <color theme="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0"/>
      <color theme="7" tint="0.7999816888943144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7"/>
      <color theme="1"/>
      <name val="Arial Narrow"/>
      <family val="2"/>
    </font>
    <font>
      <b/>
      <sz val="7"/>
      <name val="Arial Narrow"/>
      <family val="2"/>
    </font>
    <font>
      <b/>
      <sz val="6"/>
      <name val="Arial Narrow"/>
      <family val="2"/>
    </font>
    <font>
      <b/>
      <sz val="7"/>
      <color indexed="10"/>
      <name val="Arial Narrow"/>
      <family val="2"/>
    </font>
    <font>
      <b/>
      <sz val="7"/>
      <color indexed="8"/>
      <name val="Arial Narrow"/>
      <family val="2"/>
    </font>
    <font>
      <b/>
      <sz val="8"/>
      <color indexed="10"/>
      <name val="Arial Narrow"/>
      <family val="2"/>
    </font>
    <font>
      <sz val="8"/>
      <color theme="1"/>
      <name val="Arial Narrow"/>
      <family val="2"/>
    </font>
    <font>
      <b/>
      <sz val="8"/>
      <color theme="0"/>
      <name val="Arial Narrow"/>
      <family val="2"/>
    </font>
    <font>
      <b/>
      <sz val="8"/>
      <name val="Arial Narrow"/>
      <family val="2"/>
    </font>
    <font>
      <b/>
      <sz val="8"/>
      <color indexed="8"/>
      <name val="Arial Narrow"/>
      <family val="2"/>
    </font>
    <font>
      <b/>
      <sz val="8"/>
      <color theme="1"/>
      <name val="Arial Narrow"/>
      <family val="2"/>
    </font>
    <font>
      <sz val="9"/>
      <color theme="1"/>
      <name val="Arial Narrow"/>
      <family val="2"/>
    </font>
    <font>
      <b/>
      <sz val="9"/>
      <color indexed="8"/>
      <name val="Arial Narrow"/>
      <family val="2"/>
    </font>
    <font>
      <b/>
      <sz val="9"/>
      <name val="Arial Narrow"/>
      <family val="2"/>
    </font>
    <font>
      <b/>
      <sz val="9"/>
      <color theme="1"/>
      <name val="Arial Narrow"/>
      <family val="2"/>
    </font>
    <font>
      <sz val="11"/>
      <color theme="1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8"/>
      <color theme="0"/>
      <name val="Arial Narrow"/>
      <family val="2"/>
    </font>
    <font>
      <b/>
      <sz val="11"/>
      <color theme="1"/>
      <name val="Arial Narrow"/>
      <family val="2"/>
    </font>
    <font>
      <b/>
      <sz val="10"/>
      <color indexed="8"/>
      <name val="Arial Narrow"/>
      <family val="2"/>
    </font>
    <font>
      <sz val="12"/>
      <color indexed="8"/>
      <name val="Arial Narrow"/>
      <family val="2"/>
    </font>
    <font>
      <sz val="11"/>
      <color theme="0"/>
      <name val="Arial Narrow"/>
      <family val="2"/>
    </font>
    <font>
      <sz val="11"/>
      <color rgb="FFFF0000"/>
      <name val="Arial Narrow"/>
      <family val="2"/>
    </font>
    <font>
      <b/>
      <sz val="10"/>
      <color theme="7" tint="0.79998168889431442"/>
      <name val="Arial Narrow"/>
      <family val="2"/>
    </font>
    <font>
      <sz val="11"/>
      <color theme="3" tint="0.39997558519241921"/>
      <name val="Arial Narrow"/>
      <family val="2"/>
    </font>
    <font>
      <b/>
      <sz val="6"/>
      <color theme="1"/>
      <name val="Calibri"/>
      <family val="2"/>
      <scheme val="minor"/>
    </font>
    <font>
      <sz val="10"/>
      <color rgb="FFFF99CC"/>
      <name val="Arial Narrow"/>
      <family val="2"/>
    </font>
    <font>
      <sz val="10"/>
      <color theme="0"/>
      <name val="Arial Narrow"/>
      <family val="2"/>
    </font>
    <font>
      <sz val="11"/>
      <color rgb="FFFF99CC"/>
      <name val="Arial Narrow"/>
      <family val="2"/>
    </font>
    <font>
      <sz val="8"/>
      <color theme="7"/>
      <name val="Arial Narrow"/>
      <family val="2"/>
    </font>
    <font>
      <sz val="8"/>
      <color theme="7"/>
      <name val="Arial"/>
      <family val="2"/>
    </font>
    <font>
      <sz val="9"/>
      <color theme="0"/>
      <name val="Arial Narrow"/>
      <family val="2"/>
    </font>
    <font>
      <sz val="8"/>
      <color rgb="FFFF99CC"/>
      <name val="Arial Narrow"/>
      <family val="2"/>
    </font>
    <font>
      <sz val="8"/>
      <color theme="5" tint="0.39997558519241921"/>
      <name val="Arial Narrow"/>
      <family val="2"/>
    </font>
    <font>
      <sz val="11"/>
      <color theme="2" tint="-9.9978637043366805E-2"/>
      <name val="Arial Narrow"/>
      <family val="2"/>
    </font>
    <font>
      <sz val="7"/>
      <name val="Arial Narrow"/>
      <family val="2"/>
    </font>
    <font>
      <sz val="7"/>
      <color indexed="8"/>
      <name val="Arial Narrow"/>
      <family val="2"/>
    </font>
    <font>
      <sz val="7"/>
      <color indexed="10"/>
      <name val="Arial Narrow"/>
      <family val="2"/>
    </font>
    <font>
      <sz val="11"/>
      <name val="Arial Narrow"/>
      <family val="2"/>
    </font>
    <font>
      <b/>
      <sz val="7"/>
      <color theme="0"/>
      <name val="Arial Narrow"/>
      <family val="2"/>
    </font>
    <font>
      <b/>
      <sz val="6"/>
      <color indexed="10"/>
      <name val="Arial Narrow"/>
      <family val="2"/>
    </font>
    <font>
      <b/>
      <sz val="6"/>
      <color indexed="10"/>
      <name val="Arial"/>
      <family val="2"/>
    </font>
    <font>
      <b/>
      <sz val="9"/>
      <color indexed="10"/>
      <name val="Arial"/>
      <family val="2"/>
    </font>
    <font>
      <sz val="11"/>
      <name val="Calibri"/>
      <family val="2"/>
    </font>
  </fonts>
  <fills count="7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5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indexed="9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2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9AE7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E2D4B4"/>
        <bgColor indexed="64"/>
      </patternFill>
    </fill>
    <fill>
      <patternFill patternType="solid">
        <fgColor theme="2" tint="-0.249977111117893"/>
        <bgColor indexed="64"/>
      </patternFill>
    </fill>
  </fills>
  <borders count="10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/>
      <diagonal/>
    </border>
    <border>
      <left/>
      <right style="medium">
        <color indexed="64"/>
      </right>
      <top style="dotted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90">
    <xf numFmtId="0" fontId="0" fillId="0" borderId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5" fillId="4" borderId="0" applyNumberFormat="0" applyBorder="0" applyAlignment="0" applyProtection="0"/>
    <xf numFmtId="0" fontId="26" fillId="16" borderId="1" applyNumberFormat="0" applyAlignment="0" applyProtection="0"/>
    <xf numFmtId="0" fontId="27" fillId="17" borderId="2" applyNumberFormat="0" applyAlignment="0" applyProtection="0"/>
    <xf numFmtId="0" fontId="28" fillId="0" borderId="3" applyNumberFormat="0" applyFill="0" applyAlignment="0" applyProtection="0"/>
    <xf numFmtId="0" fontId="29" fillId="0" borderId="0" applyNumberFormat="0" applyFill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21" borderId="0" applyNumberFormat="0" applyBorder="0" applyAlignment="0" applyProtection="0"/>
    <xf numFmtId="0" fontId="30" fillId="7" borderId="1" applyNumberFormat="0" applyAlignment="0" applyProtection="0"/>
    <xf numFmtId="0" fontId="31" fillId="3" borderId="0" applyNumberFormat="0" applyBorder="0" applyAlignment="0" applyProtection="0"/>
    <xf numFmtId="166" fontId="8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6" fontId="14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32" fillId="22" borderId="0" applyNumberFormat="0" applyBorder="0" applyAlignment="0" applyProtection="0"/>
    <xf numFmtId="0" fontId="23" fillId="0" borderId="0"/>
    <xf numFmtId="0" fontId="46" fillId="0" borderId="0"/>
    <xf numFmtId="0" fontId="46" fillId="0" borderId="0"/>
    <xf numFmtId="0" fontId="14" fillId="0" borderId="0"/>
    <xf numFmtId="0" fontId="23" fillId="0" borderId="0"/>
    <xf numFmtId="0" fontId="14" fillId="0" borderId="0"/>
    <xf numFmtId="0" fontId="14" fillId="0" borderId="0"/>
    <xf numFmtId="0" fontId="17" fillId="0" borderId="0"/>
    <xf numFmtId="0" fontId="17" fillId="0" borderId="0"/>
    <xf numFmtId="0" fontId="22" fillId="0" borderId="0"/>
    <xf numFmtId="0" fontId="23" fillId="23" borderId="4" applyNumberFormat="0" applyFont="0" applyAlignment="0" applyProtection="0"/>
    <xf numFmtId="9" fontId="8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33" fillId="16" borderId="5" applyNumberFormat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6" applyNumberFormat="0" applyFill="0" applyAlignment="0" applyProtection="0"/>
    <xf numFmtId="0" fontId="38" fillId="0" borderId="7" applyNumberFormat="0" applyFill="0" applyAlignment="0" applyProtection="0"/>
    <xf numFmtId="0" fontId="29" fillId="0" borderId="8" applyNumberFormat="0" applyFill="0" applyAlignment="0" applyProtection="0"/>
    <xf numFmtId="0" fontId="39" fillId="0" borderId="9" applyNumberFormat="0" applyFill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4" fillId="0" borderId="0"/>
    <xf numFmtId="9" fontId="23" fillId="0" borderId="0" applyFont="0" applyFill="0" applyBorder="0" applyAlignment="0" applyProtection="0"/>
    <xf numFmtId="0" fontId="5" fillId="0" borderId="0"/>
    <xf numFmtId="0" fontId="8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</cellStyleXfs>
  <cellXfs count="2028">
    <xf numFmtId="0" fontId="0" fillId="0" borderId="0" xfId="0"/>
    <xf numFmtId="167" fontId="14" fillId="0" borderId="10" xfId="0" applyNumberFormat="1" applyFont="1" applyBorder="1" applyAlignment="1">
      <alignment horizontal="right"/>
    </xf>
    <xf numFmtId="167" fontId="14" fillId="0" borderId="11" xfId="0" applyNumberFormat="1" applyFont="1" applyBorder="1" applyAlignment="1">
      <alignment horizontal="right"/>
    </xf>
    <xf numFmtId="1" fontId="14" fillId="0" borderId="12" xfId="0" applyNumberFormat="1" applyFont="1" applyBorder="1" applyAlignment="1">
      <alignment horizontal="right"/>
    </xf>
    <xf numFmtId="167" fontId="14" fillId="0" borderId="12" xfId="0" applyNumberFormat="1" applyFont="1" applyBorder="1" applyAlignment="1">
      <alignment horizontal="right"/>
    </xf>
    <xf numFmtId="167" fontId="14" fillId="0" borderId="13" xfId="0" applyNumberFormat="1" applyFont="1" applyBorder="1" applyAlignment="1">
      <alignment horizontal="right"/>
    </xf>
    <xf numFmtId="167" fontId="14" fillId="0" borderId="14" xfId="0" applyNumberFormat="1" applyFont="1" applyBorder="1" applyAlignment="1">
      <alignment horizontal="right"/>
    </xf>
    <xf numFmtId="1" fontId="21" fillId="0" borderId="15" xfId="0" applyNumberFormat="1" applyFont="1" applyBorder="1" applyAlignment="1">
      <alignment horizontal="right"/>
    </xf>
    <xf numFmtId="1" fontId="21" fillId="0" borderId="12" xfId="0" applyNumberFormat="1" applyFont="1" applyBorder="1" applyAlignment="1">
      <alignment horizontal="right"/>
    </xf>
    <xf numFmtId="0" fontId="15" fillId="0" borderId="16" xfId="0" applyFont="1" applyBorder="1" applyAlignment="1">
      <alignment horizontal="center"/>
    </xf>
    <xf numFmtId="0" fontId="15" fillId="0" borderId="16" xfId="0" applyFont="1" applyBorder="1"/>
    <xf numFmtId="167" fontId="18" fillId="0" borderId="10" xfId="0" applyNumberFormat="1" applyFont="1" applyBorder="1" applyAlignment="1">
      <alignment horizontal="center"/>
    </xf>
    <xf numFmtId="167" fontId="18" fillId="0" borderId="17" xfId="0" applyNumberFormat="1" applyFont="1" applyBorder="1" applyAlignment="1">
      <alignment horizontal="center"/>
    </xf>
    <xf numFmtId="167" fontId="18" fillId="0" borderId="11" xfId="0" applyNumberFormat="1" applyFont="1" applyBorder="1" applyAlignment="1">
      <alignment horizontal="center"/>
    </xf>
    <xf numFmtId="167" fontId="18" fillId="0" borderId="12" xfId="0" applyNumberFormat="1" applyFont="1" applyBorder="1" applyAlignment="1">
      <alignment horizontal="center"/>
    </xf>
    <xf numFmtId="167" fontId="18" fillId="0" borderId="18" xfId="0" applyNumberFormat="1" applyFont="1" applyBorder="1" applyAlignment="1">
      <alignment horizontal="center"/>
    </xf>
    <xf numFmtId="167" fontId="18" fillId="0" borderId="13" xfId="0" applyNumberFormat="1" applyFont="1" applyBorder="1" applyAlignment="1">
      <alignment horizontal="center"/>
    </xf>
    <xf numFmtId="0" fontId="14" fillId="0" borderId="0" xfId="0" applyFont="1"/>
    <xf numFmtId="0" fontId="15" fillId="0" borderId="16" xfId="0" applyFont="1" applyBorder="1" applyAlignment="1">
      <alignment horizontal="centerContinuous"/>
    </xf>
    <xf numFmtId="0" fontId="14" fillId="0" borderId="16" xfId="0" applyFont="1" applyBorder="1" applyAlignment="1">
      <alignment horizontal="center"/>
    </xf>
    <xf numFmtId="0" fontId="15" fillId="0" borderId="0" xfId="0" applyFont="1" applyBorder="1" applyAlignment="1">
      <alignment horizontal="centerContinuous"/>
    </xf>
    <xf numFmtId="0" fontId="14" fillId="0" borderId="0" xfId="0" applyFont="1" applyBorder="1" applyAlignment="1">
      <alignment horizontal="centerContinuous"/>
    </xf>
    <xf numFmtId="167" fontId="14" fillId="0" borderId="19" xfId="0" applyNumberFormat="1" applyFont="1" applyBorder="1" applyAlignment="1">
      <alignment horizontal="right"/>
    </xf>
    <xf numFmtId="167" fontId="14" fillId="0" borderId="16" xfId="0" applyNumberFormat="1" applyFont="1" applyBorder="1" applyAlignment="1">
      <alignment horizontal="right"/>
    </xf>
    <xf numFmtId="0" fontId="15" fillId="0" borderId="16" xfId="0" applyFont="1" applyBorder="1" applyAlignment="1">
      <alignment horizontal="left"/>
    </xf>
    <xf numFmtId="0" fontId="14" fillId="0" borderId="16" xfId="0" applyFont="1" applyBorder="1"/>
    <xf numFmtId="0" fontId="40" fillId="0" borderId="0" xfId="0" applyFont="1" applyBorder="1" applyAlignment="1">
      <alignment horizontal="centerContinuous"/>
    </xf>
    <xf numFmtId="0" fontId="18" fillId="0" borderId="16" xfId="0" quotePrefix="1" applyFont="1" applyBorder="1" applyAlignment="1">
      <alignment horizontal="center"/>
    </xf>
    <xf numFmtId="167" fontId="18" fillId="0" borderId="14" xfId="0" applyNumberFormat="1" applyFont="1" applyBorder="1" applyAlignment="1">
      <alignment horizontal="center"/>
    </xf>
    <xf numFmtId="167" fontId="18" fillId="0" borderId="16" xfId="0" applyNumberFormat="1" applyFont="1" applyBorder="1" applyAlignment="1">
      <alignment horizontal="center"/>
    </xf>
    <xf numFmtId="0" fontId="15" fillId="0" borderId="16" xfId="0" quotePrefix="1" applyFont="1" applyBorder="1" applyAlignment="1">
      <alignment horizontal="center"/>
    </xf>
    <xf numFmtId="0" fontId="15" fillId="24" borderId="16" xfId="0" applyFont="1" applyFill="1" applyBorder="1" applyAlignment="1">
      <alignment horizontal="center"/>
    </xf>
    <xf numFmtId="0" fontId="14" fillId="24" borderId="20" xfId="0" applyFont="1" applyFill="1" applyBorder="1"/>
    <xf numFmtId="0" fontId="15" fillId="0" borderId="20" xfId="0" applyFont="1" applyBorder="1" applyAlignment="1">
      <alignment horizontal="center"/>
    </xf>
    <xf numFmtId="0" fontId="15" fillId="0" borderId="20" xfId="0" quotePrefix="1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5" fillId="0" borderId="21" xfId="0" applyFont="1" applyBorder="1"/>
    <xf numFmtId="0" fontId="14" fillId="0" borderId="0" xfId="0" applyFont="1" applyAlignment="1">
      <alignment horizontal="centerContinuous"/>
    </xf>
    <xf numFmtId="0" fontId="14" fillId="0" borderId="22" xfId="0" applyFont="1" applyBorder="1"/>
    <xf numFmtId="0" fontId="14" fillId="0" borderId="22" xfId="0" applyFont="1" applyBorder="1" applyAlignment="1">
      <alignment horizontal="center"/>
    </xf>
    <xf numFmtId="0" fontId="14" fillId="0" borderId="23" xfId="0" applyFont="1" applyBorder="1"/>
    <xf numFmtId="0" fontId="15" fillId="0" borderId="0" xfId="0" applyFont="1" applyAlignment="1">
      <alignment horizontal="centerContinuous"/>
    </xf>
    <xf numFmtId="0" fontId="18" fillId="0" borderId="24" xfId="0" applyFont="1" applyFill="1" applyBorder="1" applyAlignment="1">
      <alignment horizontal="left"/>
    </xf>
    <xf numFmtId="0" fontId="14" fillId="0" borderId="10" xfId="0" applyNumberFormat="1" applyFont="1" applyFill="1" applyBorder="1" applyAlignment="1"/>
    <xf numFmtId="1" fontId="14" fillId="0" borderId="10" xfId="51" applyNumberFormat="1" applyFont="1" applyFill="1" applyBorder="1" applyAlignment="1">
      <alignment horizontal="center"/>
    </xf>
    <xf numFmtId="1" fontId="14" fillId="0" borderId="11" xfId="51" applyNumberFormat="1" applyFont="1" applyFill="1" applyBorder="1" applyAlignment="1">
      <alignment horizontal="center"/>
    </xf>
    <xf numFmtId="0" fontId="18" fillId="0" borderId="25" xfId="0" applyFont="1" applyFill="1" applyBorder="1" applyAlignment="1">
      <alignment horizontal="left"/>
    </xf>
    <xf numFmtId="0" fontId="14" fillId="0" borderId="12" xfId="0" applyNumberFormat="1" applyFont="1" applyFill="1" applyBorder="1" applyAlignment="1"/>
    <xf numFmtId="1" fontId="14" fillId="0" borderId="12" xfId="51" applyNumberFormat="1" applyFont="1" applyFill="1" applyBorder="1" applyAlignment="1">
      <alignment horizontal="center"/>
    </xf>
    <xf numFmtId="1" fontId="14" fillId="0" borderId="13" xfId="51" applyNumberFormat="1" applyFont="1" applyFill="1" applyBorder="1" applyAlignment="1">
      <alignment horizontal="center"/>
    </xf>
    <xf numFmtId="9" fontId="18" fillId="0" borderId="25" xfId="0" quotePrefix="1" applyNumberFormat="1" applyFont="1" applyFill="1" applyBorder="1" applyAlignment="1">
      <alignment horizontal="left"/>
    </xf>
    <xf numFmtId="9" fontId="18" fillId="0" borderId="25" xfId="0" applyNumberFormat="1" applyFont="1" applyFill="1" applyBorder="1" applyAlignment="1">
      <alignment horizontal="left"/>
    </xf>
    <xf numFmtId="0" fontId="42" fillId="0" borderId="21" xfId="0" applyFont="1" applyBorder="1" applyAlignment="1">
      <alignment horizontal="left"/>
    </xf>
    <xf numFmtId="0" fontId="15" fillId="0" borderId="0" xfId="0" applyFont="1" applyAlignment="1">
      <alignment horizontal="center"/>
    </xf>
    <xf numFmtId="0" fontId="18" fillId="25" borderId="16" xfId="0" quotePrefix="1" applyFont="1" applyFill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/>
    </xf>
    <xf numFmtId="0" fontId="41" fillId="25" borderId="16" xfId="0" quotePrefix="1" applyFont="1" applyFill="1" applyBorder="1" applyAlignment="1">
      <alignment horizontal="center" vertical="center"/>
    </xf>
    <xf numFmtId="9" fontId="41" fillId="25" borderId="16" xfId="51" applyFont="1" applyFill="1" applyBorder="1" applyAlignment="1">
      <alignment horizontal="center" vertical="center"/>
    </xf>
    <xf numFmtId="0" fontId="14" fillId="0" borderId="26" xfId="0" applyNumberFormat="1" applyFont="1" applyFill="1" applyBorder="1" applyAlignment="1"/>
    <xf numFmtId="0" fontId="21" fillId="0" borderId="26" xfId="0" applyNumberFormat="1" applyFont="1" applyFill="1" applyBorder="1" applyAlignment="1"/>
    <xf numFmtId="0" fontId="14" fillId="0" borderId="15" xfId="0" applyNumberFormat="1" applyFont="1" applyFill="1" applyBorder="1" applyAlignment="1"/>
    <xf numFmtId="167" fontId="14" fillId="0" borderId="12" xfId="51" applyNumberFormat="1" applyFont="1" applyFill="1" applyBorder="1" applyAlignment="1">
      <alignment horizontal="center"/>
    </xf>
    <xf numFmtId="167" fontId="14" fillId="0" borderId="13" xfId="0" applyNumberFormat="1" applyFont="1" applyFill="1" applyBorder="1" applyAlignment="1"/>
    <xf numFmtId="0" fontId="21" fillId="0" borderId="15" xfId="0" applyNumberFormat="1" applyFont="1" applyFill="1" applyBorder="1" applyAlignment="1"/>
    <xf numFmtId="0" fontId="14" fillId="0" borderId="27" xfId="0" applyNumberFormat="1" applyFont="1" applyFill="1" applyBorder="1" applyAlignment="1"/>
    <xf numFmtId="0" fontId="14" fillId="0" borderId="14" xfId="0" applyNumberFormat="1" applyFont="1" applyFill="1" applyBorder="1" applyAlignment="1"/>
    <xf numFmtId="1" fontId="14" fillId="0" borderId="14" xfId="51" applyNumberFormat="1" applyFont="1" applyFill="1" applyBorder="1" applyAlignment="1">
      <alignment horizontal="center"/>
    </xf>
    <xf numFmtId="167" fontId="14" fillId="0" borderId="19" xfId="0" applyNumberFormat="1" applyFont="1" applyFill="1" applyBorder="1" applyAlignment="1"/>
    <xf numFmtId="0" fontId="18" fillId="26" borderId="16" xfId="0" applyFont="1" applyFill="1" applyBorder="1" applyAlignment="1">
      <alignment horizontal="center" vertical="center"/>
    </xf>
    <xf numFmtId="0" fontId="15" fillId="0" borderId="24" xfId="0" applyFont="1" applyBorder="1" applyAlignment="1">
      <alignment horizontal="left"/>
    </xf>
    <xf numFmtId="0" fontId="15" fillId="0" borderId="25" xfId="0" applyFont="1" applyBorder="1" applyAlignment="1">
      <alignment horizontal="left"/>
    </xf>
    <xf numFmtId="0" fontId="15" fillId="0" borderId="25" xfId="0" quotePrefix="1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167" fontId="18" fillId="0" borderId="29" xfId="0" applyNumberFormat="1" applyFont="1" applyBorder="1" applyAlignment="1">
      <alignment horizontal="center"/>
    </xf>
    <xf numFmtId="167" fontId="18" fillId="0" borderId="30" xfId="0" applyNumberFormat="1" applyFont="1" applyBorder="1" applyAlignment="1">
      <alignment horizontal="center"/>
    </xf>
    <xf numFmtId="0" fontId="15" fillId="0" borderId="0" xfId="0" applyFont="1"/>
    <xf numFmtId="167" fontId="18" fillId="0" borderId="25" xfId="0" applyNumberFormat="1" applyFont="1" applyBorder="1" applyAlignment="1">
      <alignment horizontal="center"/>
    </xf>
    <xf numFmtId="14" fontId="18" fillId="0" borderId="25" xfId="0" applyNumberFormat="1" applyFont="1" applyBorder="1" applyAlignment="1">
      <alignment horizontal="center"/>
    </xf>
    <xf numFmtId="167" fontId="18" fillId="0" borderId="31" xfId="0" applyNumberFormat="1" applyFont="1" applyBorder="1" applyAlignment="1">
      <alignment horizontal="center"/>
    </xf>
    <xf numFmtId="14" fontId="18" fillId="0" borderId="31" xfId="0" applyNumberFormat="1" applyFont="1" applyBorder="1" applyAlignment="1">
      <alignment horizontal="center"/>
    </xf>
    <xf numFmtId="0" fontId="14" fillId="24" borderId="16" xfId="0" applyFont="1" applyFill="1" applyBorder="1" applyAlignment="1">
      <alignment horizontal="center"/>
    </xf>
    <xf numFmtId="15" fontId="15" fillId="0" borderId="16" xfId="0" applyNumberFormat="1" applyFont="1" applyBorder="1"/>
    <xf numFmtId="0" fontId="15" fillId="0" borderId="22" xfId="0" applyFont="1" applyBorder="1"/>
    <xf numFmtId="0" fontId="15" fillId="0" borderId="22" xfId="0" applyFont="1" applyBorder="1" applyAlignment="1">
      <alignment horizontal="center"/>
    </xf>
    <xf numFmtId="0" fontId="15" fillId="0" borderId="23" xfId="0" applyFont="1" applyBorder="1"/>
    <xf numFmtId="0" fontId="40" fillId="0" borderId="0" xfId="0" applyFont="1" applyBorder="1" applyAlignment="1"/>
    <xf numFmtId="168" fontId="15" fillId="0" borderId="22" xfId="0" applyNumberFormat="1" applyFont="1" applyBorder="1" applyAlignment="1">
      <alignment horizontal="center"/>
    </xf>
    <xf numFmtId="0" fontId="18" fillId="0" borderId="25" xfId="0" applyFont="1" applyBorder="1" applyAlignment="1">
      <alignment horizontal="left" wrapText="1"/>
    </xf>
    <xf numFmtId="0" fontId="18" fillId="0" borderId="31" xfId="0" applyFont="1" applyBorder="1" applyAlignment="1">
      <alignment horizontal="left" wrapText="1"/>
    </xf>
    <xf numFmtId="0" fontId="15" fillId="27" borderId="10" xfId="0" applyFont="1" applyFill="1" applyBorder="1" applyAlignment="1">
      <alignment horizontal="centerContinuous" vertical="center"/>
    </xf>
    <xf numFmtId="2" fontId="18" fillId="28" borderId="14" xfId="47" applyNumberFormat="1" applyFont="1" applyFill="1" applyBorder="1" applyAlignment="1">
      <alignment horizontal="center" vertical="center"/>
    </xf>
    <xf numFmtId="0" fontId="15" fillId="0" borderId="24" xfId="0" quotePrefix="1" applyNumberFormat="1" applyFont="1" applyBorder="1"/>
    <xf numFmtId="0" fontId="15" fillId="0" borderId="25" xfId="0" quotePrefix="1" applyNumberFormat="1" applyFont="1" applyBorder="1"/>
    <xf numFmtId="0" fontId="15" fillId="0" borderId="32" xfId="0" quotePrefix="1" applyNumberFormat="1" applyFont="1" applyBorder="1"/>
    <xf numFmtId="0" fontId="18" fillId="0" borderId="16" xfId="48" applyFont="1" applyFill="1" applyBorder="1" applyAlignment="1"/>
    <xf numFmtId="3" fontId="15" fillId="0" borderId="33" xfId="0" applyNumberFormat="1" applyFont="1" applyBorder="1" applyAlignment="1"/>
    <xf numFmtId="3" fontId="15" fillId="0" borderId="34" xfId="0" applyNumberFormat="1" applyFont="1" applyBorder="1" applyAlignment="1"/>
    <xf numFmtId="167" fontId="15" fillId="0" borderId="34" xfId="0" applyNumberFormat="1" applyFont="1" applyBorder="1" applyAlignment="1"/>
    <xf numFmtId="169" fontId="14" fillId="0" borderId="22" xfId="32" applyNumberFormat="1" applyFont="1" applyBorder="1" applyAlignment="1"/>
    <xf numFmtId="0" fontId="14" fillId="0" borderId="22" xfId="0" applyFont="1" applyBorder="1" applyAlignment="1"/>
    <xf numFmtId="0" fontId="14" fillId="0" borderId="23" xfId="0" applyFont="1" applyBorder="1" applyAlignment="1"/>
    <xf numFmtId="0" fontId="14" fillId="0" borderId="0" xfId="0" applyFont="1" applyAlignment="1"/>
    <xf numFmtId="0" fontId="14" fillId="0" borderId="0" xfId="0" applyFont="1" applyAlignment="1">
      <alignment horizontal="center"/>
    </xf>
    <xf numFmtId="3" fontId="14" fillId="0" borderId="0" xfId="0" applyNumberFormat="1" applyFont="1" applyAlignment="1"/>
    <xf numFmtId="0" fontId="15" fillId="27" borderId="16" xfId="0" applyFont="1" applyFill="1" applyBorder="1" applyAlignment="1">
      <alignment horizontal="center"/>
    </xf>
    <xf numFmtId="0" fontId="15" fillId="27" borderId="20" xfId="0" applyFont="1" applyFill="1" applyBorder="1" applyAlignment="1">
      <alignment horizontal="center"/>
    </xf>
    <xf numFmtId="0" fontId="15" fillId="27" borderId="23" xfId="0" applyFont="1" applyFill="1" applyBorder="1" applyAlignment="1">
      <alignment horizontal="center"/>
    </xf>
    <xf numFmtId="0" fontId="18" fillId="27" borderId="20" xfId="0" quotePrefix="1" applyFont="1" applyFill="1" applyBorder="1" applyAlignment="1">
      <alignment horizontal="center"/>
    </xf>
    <xf numFmtId="0" fontId="15" fillId="27" borderId="20" xfId="0" quotePrefix="1" applyFont="1" applyFill="1" applyBorder="1" applyAlignment="1">
      <alignment horizontal="center"/>
    </xf>
    <xf numFmtId="0" fontId="15" fillId="27" borderId="16" xfId="0" applyFont="1" applyFill="1" applyBorder="1"/>
    <xf numFmtId="0" fontId="15" fillId="27" borderId="31" xfId="0" applyFont="1" applyFill="1" applyBorder="1" applyAlignment="1">
      <alignment horizontal="center"/>
    </xf>
    <xf numFmtId="0" fontId="15" fillId="27" borderId="16" xfId="0" quotePrefix="1" applyFont="1" applyFill="1" applyBorder="1" applyAlignment="1">
      <alignment horizontal="center"/>
    </xf>
    <xf numFmtId="0" fontId="18" fillId="27" borderId="31" xfId="0" applyFont="1" applyFill="1" applyBorder="1" applyAlignment="1">
      <alignment horizontal="center"/>
    </xf>
    <xf numFmtId="3" fontId="20" fillId="0" borderId="24" xfId="32" applyNumberFormat="1" applyFont="1" applyBorder="1" applyAlignment="1">
      <alignment horizontal="center" wrapText="1"/>
    </xf>
    <xf numFmtId="3" fontId="20" fillId="0" borderId="24" xfId="0" applyNumberFormat="1" applyFont="1" applyBorder="1" applyAlignment="1">
      <alignment horizontal="center"/>
    </xf>
    <xf numFmtId="3" fontId="20" fillId="0" borderId="25" xfId="32" applyNumberFormat="1" applyFont="1" applyBorder="1" applyAlignment="1">
      <alignment horizontal="center" wrapText="1"/>
    </xf>
    <xf numFmtId="3" fontId="16" fillId="0" borderId="25" xfId="32" applyNumberFormat="1" applyFont="1" applyBorder="1" applyAlignment="1">
      <alignment horizontal="center"/>
    </xf>
    <xf numFmtId="3" fontId="16" fillId="0" borderId="25" xfId="0" applyNumberFormat="1" applyFont="1" applyBorder="1" applyAlignment="1">
      <alignment horizontal="center"/>
    </xf>
    <xf numFmtId="3" fontId="20" fillId="0" borderId="25" xfId="0" applyNumberFormat="1" applyFont="1" applyBorder="1" applyAlignment="1">
      <alignment horizontal="center"/>
    </xf>
    <xf numFmtId="3" fontId="16" fillId="0" borderId="25" xfId="32" quotePrefix="1" applyNumberFormat="1" applyFont="1" applyBorder="1" applyAlignment="1">
      <alignment horizontal="center"/>
    </xf>
    <xf numFmtId="3" fontId="20" fillId="0" borderId="25" xfId="32" applyNumberFormat="1" applyFont="1" applyBorder="1" applyAlignment="1">
      <alignment horizontal="center"/>
    </xf>
    <xf numFmtId="3" fontId="20" fillId="0" borderId="28" xfId="32" applyNumberFormat="1" applyFont="1" applyBorder="1" applyAlignment="1">
      <alignment horizontal="center" wrapText="1"/>
    </xf>
    <xf numFmtId="3" fontId="16" fillId="0" borderId="31" xfId="32" applyNumberFormat="1" applyFont="1" applyBorder="1" applyAlignment="1">
      <alignment horizontal="center"/>
    </xf>
    <xf numFmtId="3" fontId="16" fillId="0" borderId="31" xfId="0" applyNumberFormat="1" applyFont="1" applyBorder="1" applyAlignment="1">
      <alignment horizontal="center"/>
    </xf>
    <xf numFmtId="3" fontId="20" fillId="0" borderId="28" xfId="0" applyNumberFormat="1" applyFont="1" applyBorder="1" applyAlignment="1">
      <alignment horizontal="center"/>
    </xf>
    <xf numFmtId="3" fontId="40" fillId="0" borderId="16" xfId="32" applyNumberFormat="1" applyFont="1" applyBorder="1" applyAlignment="1">
      <alignment horizontal="center"/>
    </xf>
    <xf numFmtId="0" fontId="15" fillId="0" borderId="35" xfId="0" applyFont="1" applyBorder="1"/>
    <xf numFmtId="0" fontId="15" fillId="27" borderId="36" xfId="0" applyFont="1" applyFill="1" applyBorder="1" applyAlignment="1">
      <alignment horizontal="center"/>
    </xf>
    <xf numFmtId="0" fontId="18" fillId="27" borderId="36" xfId="0" applyFont="1" applyFill="1" applyBorder="1" applyAlignment="1">
      <alignment horizontal="center"/>
    </xf>
    <xf numFmtId="0" fontId="15" fillId="27" borderId="36" xfId="0" quotePrefix="1" applyFont="1" applyFill="1" applyBorder="1" applyAlignment="1">
      <alignment horizontal="center"/>
    </xf>
    <xf numFmtId="3" fontId="14" fillId="0" borderId="0" xfId="0" applyNumberFormat="1" applyFont="1"/>
    <xf numFmtId="0" fontId="15" fillId="27" borderId="23" xfId="0" quotePrefix="1" applyFont="1" applyFill="1" applyBorder="1" applyAlignment="1">
      <alignment horizontal="center"/>
    </xf>
    <xf numFmtId="0" fontId="15" fillId="0" borderId="37" xfId="0" applyFont="1" applyBorder="1" applyAlignment="1">
      <alignment horizontal="left" wrapText="1"/>
    </xf>
    <xf numFmtId="3" fontId="14" fillId="0" borderId="38" xfId="0" applyNumberFormat="1" applyFont="1" applyBorder="1" applyAlignment="1">
      <alignment horizontal="center"/>
    </xf>
    <xf numFmtId="167" fontId="15" fillId="0" borderId="39" xfId="0" applyNumberFormat="1" applyFont="1" applyBorder="1" applyAlignment="1">
      <alignment horizontal="center"/>
    </xf>
    <xf numFmtId="3" fontId="14" fillId="0" borderId="39" xfId="0" applyNumberFormat="1" applyFont="1" applyBorder="1" applyAlignment="1">
      <alignment horizontal="center"/>
    </xf>
    <xf numFmtId="167" fontId="18" fillId="0" borderId="39" xfId="0" applyNumberFormat="1" applyFont="1" applyBorder="1" applyAlignment="1">
      <alignment horizontal="center"/>
    </xf>
    <xf numFmtId="14" fontId="18" fillId="0" borderId="39" xfId="0" applyNumberFormat="1" applyFont="1" applyBorder="1" applyAlignment="1">
      <alignment horizontal="center"/>
    </xf>
    <xf numFmtId="3" fontId="16" fillId="0" borderId="40" xfId="0" applyNumberFormat="1" applyFont="1" applyBorder="1" applyAlignment="1">
      <alignment horizontal="center"/>
    </xf>
    <xf numFmtId="167" fontId="18" fillId="0" borderId="41" xfId="0" applyNumberFormat="1" applyFont="1" applyBorder="1" applyAlignment="1">
      <alignment horizontal="center"/>
    </xf>
    <xf numFmtId="3" fontId="16" fillId="0" borderId="41" xfId="0" applyNumberFormat="1" applyFont="1" applyBorder="1" applyAlignment="1">
      <alignment horizontal="center"/>
    </xf>
    <xf numFmtId="14" fontId="18" fillId="0" borderId="41" xfId="0" applyNumberFormat="1" applyFont="1" applyBorder="1" applyAlignment="1">
      <alignment horizontal="center"/>
    </xf>
    <xf numFmtId="0" fontId="15" fillId="0" borderId="25" xfId="0" applyFont="1" applyBorder="1" applyAlignment="1">
      <alignment horizontal="left" wrapText="1"/>
    </xf>
    <xf numFmtId="3" fontId="14" fillId="0" borderId="40" xfId="0" applyNumberFormat="1" applyFont="1" applyBorder="1" applyAlignment="1">
      <alignment horizontal="center"/>
    </xf>
    <xf numFmtId="167" fontId="15" fillId="0" borderId="41" xfId="0" applyNumberFormat="1" applyFont="1" applyBorder="1" applyAlignment="1">
      <alignment horizontal="center"/>
    </xf>
    <xf numFmtId="3" fontId="14" fillId="0" borderId="41" xfId="0" applyNumberFormat="1" applyFont="1" applyBorder="1" applyAlignment="1">
      <alignment horizontal="center"/>
    </xf>
    <xf numFmtId="3" fontId="16" fillId="0" borderId="42" xfId="0" applyNumberFormat="1" applyFont="1" applyBorder="1" applyAlignment="1">
      <alignment horizontal="center"/>
    </xf>
    <xf numFmtId="167" fontId="18" fillId="0" borderId="43" xfId="0" applyNumberFormat="1" applyFont="1" applyBorder="1" applyAlignment="1">
      <alignment horizontal="center"/>
    </xf>
    <xf numFmtId="3" fontId="16" fillId="0" borderId="43" xfId="0" applyNumberFormat="1" applyFont="1" applyBorder="1" applyAlignment="1">
      <alignment horizontal="center"/>
    </xf>
    <xf numFmtId="0" fontId="14" fillId="24" borderId="31" xfId="0" applyFont="1" applyFill="1" applyBorder="1" applyAlignment="1">
      <alignment horizontal="center"/>
    </xf>
    <xf numFmtId="3" fontId="15" fillId="0" borderId="23" xfId="0" applyNumberFormat="1" applyFont="1" applyBorder="1" applyAlignment="1">
      <alignment horizontal="center"/>
    </xf>
    <xf numFmtId="167" fontId="18" fillId="0" borderId="23" xfId="0" applyNumberFormat="1" applyFont="1" applyBorder="1" applyAlignment="1">
      <alignment horizontal="center"/>
    </xf>
    <xf numFmtId="167" fontId="16" fillId="0" borderId="23" xfId="0" applyNumberFormat="1" applyFont="1" applyBorder="1" applyAlignment="1">
      <alignment horizontal="center"/>
    </xf>
    <xf numFmtId="15" fontId="15" fillId="0" borderId="44" xfId="0" applyNumberFormat="1" applyFont="1" applyBorder="1"/>
    <xf numFmtId="0" fontId="15" fillId="0" borderId="44" xfId="0" applyFont="1" applyBorder="1"/>
    <xf numFmtId="3" fontId="12" fillId="27" borderId="18" xfId="40" applyNumberFormat="1" applyFont="1" applyFill="1" applyBorder="1"/>
    <xf numFmtId="173" fontId="9" fillId="0" borderId="45" xfId="33" applyNumberFormat="1" applyFont="1" applyBorder="1"/>
    <xf numFmtId="0" fontId="9" fillId="0" borderId="46" xfId="40" applyFont="1" applyBorder="1" applyAlignment="1">
      <alignment horizontal="left" wrapText="1"/>
    </xf>
    <xf numFmtId="171" fontId="10" fillId="0" borderId="45" xfId="33" applyNumberFormat="1" applyFont="1" applyBorder="1"/>
    <xf numFmtId="3" fontId="12" fillId="27" borderId="47" xfId="40" applyNumberFormat="1" applyFont="1" applyFill="1" applyBorder="1"/>
    <xf numFmtId="167" fontId="9" fillId="30" borderId="54" xfId="40" applyNumberFormat="1" applyFont="1" applyFill="1" applyBorder="1" applyAlignment="1">
      <alignment horizontal="center"/>
    </xf>
    <xf numFmtId="167" fontId="10" fillId="0" borderId="55" xfId="40" applyNumberFormat="1" applyFont="1" applyBorder="1" applyAlignment="1">
      <alignment horizontal="center"/>
    </xf>
    <xf numFmtId="0" fontId="9" fillId="29" borderId="25" xfId="40" applyFont="1" applyFill="1" applyBorder="1" applyAlignment="1">
      <alignment horizontal="left" wrapText="1"/>
    </xf>
    <xf numFmtId="167" fontId="9" fillId="34" borderId="54" xfId="40" applyNumberFormat="1" applyFont="1" applyFill="1" applyBorder="1" applyAlignment="1">
      <alignment horizontal="center"/>
    </xf>
    <xf numFmtId="3" fontId="12" fillId="27" borderId="25" xfId="40" applyNumberFormat="1" applyFont="1" applyFill="1" applyBorder="1"/>
    <xf numFmtId="171" fontId="10" fillId="0" borderId="56" xfId="33" applyNumberFormat="1" applyFont="1" applyBorder="1"/>
    <xf numFmtId="0" fontId="12" fillId="29" borderId="25" xfId="40" applyFont="1" applyFill="1" applyBorder="1" applyAlignment="1">
      <alignment horizontal="left" wrapText="1"/>
    </xf>
    <xf numFmtId="171" fontId="12" fillId="27" borderId="18" xfId="33" applyNumberFormat="1" applyFont="1" applyFill="1" applyBorder="1" applyAlignment="1">
      <alignment vertical="center"/>
    </xf>
    <xf numFmtId="171" fontId="12" fillId="27" borderId="25" xfId="33" applyNumberFormat="1" applyFont="1" applyFill="1" applyBorder="1" applyAlignment="1">
      <alignment vertical="center"/>
    </xf>
    <xf numFmtId="0" fontId="9" fillId="0" borderId="25" xfId="40" applyFont="1" applyBorder="1" applyAlignment="1">
      <alignment horizontal="left" wrapText="1"/>
    </xf>
    <xf numFmtId="0" fontId="9" fillId="0" borderId="25" xfId="40" applyFont="1" applyFill="1" applyBorder="1" applyAlignment="1">
      <alignment horizontal="left" wrapText="1"/>
    </xf>
    <xf numFmtId="0" fontId="9" fillId="29" borderId="28" xfId="40" applyFont="1" applyFill="1" applyBorder="1" applyAlignment="1">
      <alignment horizontal="left" wrapText="1"/>
    </xf>
    <xf numFmtId="3" fontId="12" fillId="27" borderId="30" xfId="40" applyNumberFormat="1" applyFont="1" applyFill="1" applyBorder="1"/>
    <xf numFmtId="171" fontId="10" fillId="0" borderId="57" xfId="33" applyNumberFormat="1" applyFont="1" applyBorder="1"/>
    <xf numFmtId="3" fontId="12" fillId="27" borderId="28" xfId="40" applyNumberFormat="1" applyFont="1" applyFill="1" applyBorder="1"/>
    <xf numFmtId="1" fontId="14" fillId="0" borderId="0" xfId="0" applyNumberFormat="1" applyFont="1"/>
    <xf numFmtId="167" fontId="14" fillId="0" borderId="0" xfId="0" applyNumberFormat="1" applyFont="1" applyFill="1" applyBorder="1" applyAlignment="1">
      <alignment horizontal="right"/>
    </xf>
    <xf numFmtId="0" fontId="15" fillId="0" borderId="0" xfId="0" applyFont="1" applyFill="1" applyBorder="1" applyAlignment="1">
      <alignment horizontal="left"/>
    </xf>
    <xf numFmtId="0" fontId="14" fillId="0" borderId="0" xfId="0" applyFont="1" applyFill="1" applyBorder="1"/>
    <xf numFmtId="3" fontId="20" fillId="44" borderId="38" xfId="0" applyNumberFormat="1" applyFont="1" applyFill="1" applyBorder="1" applyAlignment="1">
      <alignment horizontal="center"/>
    </xf>
    <xf numFmtId="3" fontId="20" fillId="44" borderId="40" xfId="0" applyNumberFormat="1" applyFont="1" applyFill="1" applyBorder="1" applyAlignment="1">
      <alignment horizontal="center" wrapText="1"/>
    </xf>
    <xf numFmtId="3" fontId="20" fillId="44" borderId="40" xfId="0" applyNumberFormat="1" applyFont="1" applyFill="1" applyBorder="1" applyAlignment="1">
      <alignment horizontal="center"/>
    </xf>
    <xf numFmtId="3" fontId="20" fillId="44" borderId="42" xfId="0" applyNumberFormat="1" applyFont="1" applyFill="1" applyBorder="1" applyAlignment="1">
      <alignment horizontal="center" wrapText="1"/>
    </xf>
    <xf numFmtId="3" fontId="40" fillId="44" borderId="16" xfId="0" applyNumberFormat="1" applyFont="1" applyFill="1" applyBorder="1" applyAlignment="1">
      <alignment horizontal="center"/>
    </xf>
    <xf numFmtId="3" fontId="20" fillId="44" borderId="42" xfId="0" applyNumberFormat="1" applyFont="1" applyFill="1" applyBorder="1" applyAlignment="1">
      <alignment horizontal="center"/>
    </xf>
    <xf numFmtId="3" fontId="40" fillId="44" borderId="23" xfId="0" applyNumberFormat="1" applyFont="1" applyFill="1" applyBorder="1" applyAlignment="1">
      <alignment horizontal="center"/>
    </xf>
    <xf numFmtId="0" fontId="15" fillId="0" borderId="0" xfId="0" applyFont="1" applyBorder="1"/>
    <xf numFmtId="0" fontId="14" fillId="0" borderId="0" xfId="43" applyFont="1"/>
    <xf numFmtId="167" fontId="14" fillId="0" borderId="0" xfId="43" applyNumberFormat="1" applyFont="1"/>
    <xf numFmtId="0" fontId="15" fillId="0" borderId="44" xfId="43" applyFont="1" applyBorder="1"/>
    <xf numFmtId="0" fontId="15" fillId="0" borderId="16" xfId="43" applyFont="1" applyBorder="1" applyAlignment="1">
      <alignment horizontal="center"/>
    </xf>
    <xf numFmtId="0" fontId="15" fillId="0" borderId="23" xfId="43" applyFont="1" applyBorder="1" applyAlignment="1">
      <alignment horizontal="center"/>
    </xf>
    <xf numFmtId="169" fontId="14" fillId="0" borderId="16" xfId="35" applyNumberFormat="1" applyFont="1" applyBorder="1"/>
    <xf numFmtId="169" fontId="15" fillId="0" borderId="16" xfId="35" applyNumberFormat="1" applyFont="1" applyBorder="1"/>
    <xf numFmtId="0" fontId="14" fillId="0" borderId="16" xfId="43" applyFont="1" applyBorder="1"/>
    <xf numFmtId="0" fontId="15" fillId="0" borderId="16" xfId="43" applyFont="1" applyBorder="1"/>
    <xf numFmtId="168" fontId="15" fillId="0" borderId="16" xfId="43" applyNumberFormat="1" applyFont="1" applyBorder="1" applyAlignment="1">
      <alignment horizontal="center"/>
    </xf>
    <xf numFmtId="15" fontId="15" fillId="0" borderId="44" xfId="43" applyNumberFormat="1" applyFont="1" applyBorder="1"/>
    <xf numFmtId="170" fontId="15" fillId="0" borderId="13" xfId="35" applyNumberFormat="1" applyFont="1" applyBorder="1" applyAlignment="1">
      <alignment horizontal="center" vertical="center"/>
    </xf>
    <xf numFmtId="169" fontId="15" fillId="0" borderId="16" xfId="35" applyNumberFormat="1" applyFont="1" applyBorder="1" applyAlignment="1">
      <alignment horizontal="center"/>
    </xf>
    <xf numFmtId="169" fontId="44" fillId="0" borderId="16" xfId="35" applyNumberFormat="1" applyFont="1" applyBorder="1" applyAlignment="1">
      <alignment horizontal="center"/>
    </xf>
    <xf numFmtId="0" fontId="14" fillId="24" borderId="16" xfId="43" applyFont="1" applyFill="1" applyBorder="1" applyAlignment="1">
      <alignment horizontal="center"/>
    </xf>
    <xf numFmtId="14" fontId="18" fillId="0" borderId="36" xfId="43" applyNumberFormat="1" applyFont="1" applyBorder="1" applyAlignment="1">
      <alignment horizontal="center"/>
    </xf>
    <xf numFmtId="169" fontId="14" fillId="29" borderId="31" xfId="35" applyNumberFormat="1" applyFont="1" applyFill="1" applyBorder="1"/>
    <xf numFmtId="169" fontId="14" fillId="0" borderId="31" xfId="35" applyNumberFormat="1" applyFont="1" applyBorder="1"/>
    <xf numFmtId="169" fontId="20" fillId="29" borderId="31" xfId="35" applyNumberFormat="1" applyFont="1" applyFill="1" applyBorder="1" applyAlignment="1">
      <alignment vertical="center"/>
    </xf>
    <xf numFmtId="3" fontId="20" fillId="29" borderId="31" xfId="49" applyNumberFormat="1" applyFont="1" applyFill="1" applyBorder="1" applyAlignment="1">
      <alignment vertical="center"/>
    </xf>
    <xf numFmtId="0" fontId="18" fillId="29" borderId="31" xfId="43" applyFont="1" applyFill="1" applyBorder="1" applyAlignment="1">
      <alignment horizontal="left"/>
    </xf>
    <xf numFmtId="14" fontId="18" fillId="0" borderId="41" xfId="43" applyNumberFormat="1" applyFont="1" applyBorder="1" applyAlignment="1">
      <alignment horizontal="center"/>
    </xf>
    <xf numFmtId="169" fontId="14" fillId="0" borderId="40" xfId="35" applyNumberFormat="1" applyFont="1" applyBorder="1"/>
    <xf numFmtId="169" fontId="20" fillId="29" borderId="40" xfId="35" applyNumberFormat="1" applyFont="1" applyFill="1" applyBorder="1" applyAlignment="1">
      <alignment vertical="center"/>
    </xf>
    <xf numFmtId="3" fontId="20" fillId="29" borderId="40" xfId="49" applyNumberFormat="1" applyFont="1" applyFill="1" applyBorder="1" applyAlignment="1">
      <alignment vertical="center"/>
    </xf>
    <xf numFmtId="0" fontId="18" fillId="0" borderId="25" xfId="43" applyFont="1" applyBorder="1" applyAlignment="1">
      <alignment horizontal="left"/>
    </xf>
    <xf numFmtId="3" fontId="20" fillId="29" borderId="40" xfId="43" applyNumberFormat="1" applyFont="1" applyFill="1" applyBorder="1"/>
    <xf numFmtId="169" fontId="14" fillId="29" borderId="40" xfId="35" applyNumberFormat="1" applyFont="1" applyFill="1" applyBorder="1"/>
    <xf numFmtId="0" fontId="18" fillId="29" borderId="25" xfId="43" applyFont="1" applyFill="1" applyBorder="1" applyAlignment="1">
      <alignment horizontal="left"/>
    </xf>
    <xf numFmtId="169" fontId="20" fillId="29" borderId="40" xfId="35" applyNumberFormat="1" applyFont="1" applyFill="1" applyBorder="1"/>
    <xf numFmtId="3" fontId="20" fillId="29" borderId="40" xfId="43" applyNumberFormat="1" applyFont="1" applyFill="1" applyBorder="1" applyAlignment="1">
      <alignment vertical="center"/>
    </xf>
    <xf numFmtId="169" fontId="20" fillId="29" borderId="37" xfId="35" applyNumberFormat="1" applyFont="1" applyFill="1" applyBorder="1" applyAlignment="1">
      <alignment vertical="center"/>
    </xf>
    <xf numFmtId="0" fontId="15" fillId="27" borderId="31" xfId="43" applyFont="1" applyFill="1" applyBorder="1" applyAlignment="1">
      <alignment horizontal="center"/>
    </xf>
    <xf numFmtId="0" fontId="15" fillId="27" borderId="16" xfId="43" applyFont="1" applyFill="1" applyBorder="1" applyAlignment="1">
      <alignment horizontal="center" vertical="center"/>
    </xf>
    <xf numFmtId="0" fontId="15" fillId="27" borderId="16" xfId="43" quotePrefix="1" applyFont="1" applyFill="1" applyBorder="1" applyAlignment="1">
      <alignment horizontal="center" vertical="center"/>
    </xf>
    <xf numFmtId="0" fontId="18" fillId="27" borderId="31" xfId="43" applyFont="1" applyFill="1" applyBorder="1" applyAlignment="1">
      <alignment horizontal="center"/>
    </xf>
    <xf numFmtId="0" fontId="15" fillId="27" borderId="31" xfId="43" applyFont="1" applyFill="1" applyBorder="1"/>
    <xf numFmtId="0" fontId="15" fillId="27" borderId="20" xfId="43" quotePrefix="1" applyFont="1" applyFill="1" applyBorder="1" applyAlignment="1">
      <alignment horizontal="center"/>
    </xf>
    <xf numFmtId="0" fontId="18" fillId="27" borderId="20" xfId="43" quotePrefix="1" applyFont="1" applyFill="1" applyBorder="1" applyAlignment="1">
      <alignment horizontal="center"/>
    </xf>
    <xf numFmtId="0" fontId="15" fillId="27" borderId="20" xfId="43" applyFont="1" applyFill="1" applyBorder="1" applyAlignment="1">
      <alignment horizontal="center"/>
    </xf>
    <xf numFmtId="169" fontId="14" fillId="0" borderId="0" xfId="43" applyNumberFormat="1" applyFont="1"/>
    <xf numFmtId="169" fontId="40" fillId="0" borderId="16" xfId="35" applyNumberFormat="1" applyFont="1" applyBorder="1" applyAlignment="1">
      <alignment horizontal="right"/>
    </xf>
    <xf numFmtId="3" fontId="14" fillId="0" borderId="14" xfId="35" applyNumberFormat="1" applyFont="1" applyBorder="1" applyAlignment="1"/>
    <xf numFmtId="3" fontId="14" fillId="0" borderId="27" xfId="35" applyNumberFormat="1" applyFont="1" applyBorder="1"/>
    <xf numFmtId="3" fontId="15" fillId="27" borderId="28" xfId="43" applyNumberFormat="1" applyFont="1" applyFill="1" applyBorder="1"/>
    <xf numFmtId="174" fontId="14" fillId="0" borderId="14" xfId="35" applyNumberFormat="1" applyFont="1" applyBorder="1"/>
    <xf numFmtId="169" fontId="16" fillId="0" borderId="10" xfId="35" applyNumberFormat="1" applyFont="1" applyBorder="1" applyAlignment="1">
      <alignment horizontal="center"/>
    </xf>
    <xf numFmtId="3" fontId="14" fillId="0" borderId="14" xfId="35" applyNumberFormat="1" applyFont="1" applyBorder="1"/>
    <xf numFmtId="0" fontId="18" fillId="29" borderId="60" xfId="43" applyFont="1" applyFill="1" applyBorder="1" applyAlignment="1">
      <alignment horizontal="left" wrapText="1"/>
    </xf>
    <xf numFmtId="49" fontId="14" fillId="0" borderId="28" xfId="43" applyNumberFormat="1" applyFont="1" applyBorder="1" applyAlignment="1">
      <alignment horizontal="center" vertical="center"/>
    </xf>
    <xf numFmtId="3" fontId="14" fillId="0" borderId="12" xfId="35" applyNumberFormat="1" applyFont="1" applyBorder="1" applyAlignment="1"/>
    <xf numFmtId="3" fontId="14" fillId="0" borderId="15" xfId="35" applyNumberFormat="1" applyFont="1" applyBorder="1"/>
    <xf numFmtId="3" fontId="15" fillId="27" borderId="25" xfId="43" applyNumberFormat="1" applyFont="1" applyFill="1" applyBorder="1"/>
    <xf numFmtId="174" fontId="14" fillId="0" borderId="12" xfId="35" applyNumberFormat="1" applyFont="1" applyBorder="1"/>
    <xf numFmtId="3" fontId="14" fillId="0" borderId="12" xfId="35" applyNumberFormat="1" applyFont="1" applyBorder="1"/>
    <xf numFmtId="0" fontId="18" fillId="0" borderId="61" xfId="43" applyFont="1" applyBorder="1" applyAlignment="1">
      <alignment horizontal="left" wrapText="1"/>
    </xf>
    <xf numFmtId="49" fontId="14" fillId="0" borderId="25" xfId="43" applyNumberFormat="1" applyFont="1" applyBorder="1" applyAlignment="1">
      <alignment horizontal="center" vertical="center"/>
    </xf>
    <xf numFmtId="174" fontId="14" fillId="0" borderId="12" xfId="35" applyNumberFormat="1" applyFont="1" applyFill="1" applyBorder="1"/>
    <xf numFmtId="3" fontId="14" fillId="0" borderId="12" xfId="35" applyNumberFormat="1" applyFont="1" applyFill="1" applyBorder="1"/>
    <xf numFmtId="3" fontId="14" fillId="0" borderId="15" xfId="35" applyNumberFormat="1" applyFont="1" applyFill="1" applyBorder="1"/>
    <xf numFmtId="0" fontId="18" fillId="29" borderId="61" xfId="43" applyFont="1" applyFill="1" applyBorder="1" applyAlignment="1">
      <alignment horizontal="left" wrapText="1"/>
    </xf>
    <xf numFmtId="169" fontId="14" fillId="0" borderId="62" xfId="35" applyNumberFormat="1" applyFont="1" applyFill="1" applyBorder="1"/>
    <xf numFmtId="169" fontId="15" fillId="29" borderId="12" xfId="35" applyNumberFormat="1" applyFont="1" applyFill="1" applyBorder="1" applyAlignment="1">
      <alignment horizontal="center"/>
    </xf>
    <xf numFmtId="169" fontId="18" fillId="29" borderId="12" xfId="35" applyNumberFormat="1" applyFont="1" applyFill="1" applyBorder="1" applyAlignment="1">
      <alignment horizontal="center"/>
    </xf>
    <xf numFmtId="3" fontId="14" fillId="0" borderId="63" xfId="43" applyNumberFormat="1" applyFont="1" applyFill="1" applyBorder="1"/>
    <xf numFmtId="169" fontId="15" fillId="27" borderId="25" xfId="35" applyNumberFormat="1" applyFont="1" applyFill="1" applyBorder="1" applyAlignment="1">
      <alignment vertical="center"/>
    </xf>
    <xf numFmtId="3" fontId="14" fillId="0" borderId="10" xfId="35" applyNumberFormat="1" applyFont="1" applyBorder="1" applyAlignment="1"/>
    <xf numFmtId="3" fontId="14" fillId="0" borderId="26" xfId="35" applyNumberFormat="1" applyFont="1" applyBorder="1"/>
    <xf numFmtId="3" fontId="15" fillId="27" borderId="24" xfId="43" applyNumberFormat="1" applyFont="1" applyFill="1" applyBorder="1"/>
    <xf numFmtId="174" fontId="14" fillId="0" borderId="10" xfId="35" applyNumberFormat="1" applyFont="1" applyBorder="1"/>
    <xf numFmtId="3" fontId="14" fillId="0" borderId="10" xfId="35" applyNumberFormat="1" applyFont="1" applyBorder="1"/>
    <xf numFmtId="0" fontId="18" fillId="0" borderId="64" xfId="43" applyFont="1" applyBorder="1" applyAlignment="1">
      <alignment horizontal="left" wrapText="1"/>
    </xf>
    <xf numFmtId="49" fontId="14" fillId="0" borderId="24" xfId="43" applyNumberFormat="1" applyFont="1" applyBorder="1" applyAlignment="1">
      <alignment horizontal="center" vertical="center"/>
    </xf>
    <xf numFmtId="0" fontId="15" fillId="0" borderId="16" xfId="43" applyFont="1" applyBorder="1" applyAlignment="1">
      <alignment horizontal="center" vertical="center"/>
    </xf>
    <xf numFmtId="0" fontId="15" fillId="0" borderId="16" xfId="43" quotePrefix="1" applyFont="1" applyBorder="1" applyAlignment="1">
      <alignment horizontal="center" vertical="center"/>
    </xf>
    <xf numFmtId="0" fontId="18" fillId="0" borderId="31" xfId="43" applyFont="1" applyBorder="1" applyAlignment="1">
      <alignment horizontal="center"/>
    </xf>
    <xf numFmtId="0" fontId="15" fillId="0" borderId="31" xfId="43" applyFont="1" applyBorder="1" applyAlignment="1">
      <alignment horizontal="center"/>
    </xf>
    <xf numFmtId="0" fontId="15" fillId="24" borderId="31" xfId="43" applyFont="1" applyFill="1" applyBorder="1" applyAlignment="1">
      <alignment horizontal="center"/>
    </xf>
    <xf numFmtId="0" fontId="18" fillId="0" borderId="20" xfId="43" quotePrefix="1" applyFont="1" applyBorder="1" applyAlignment="1">
      <alignment horizontal="center"/>
    </xf>
    <xf numFmtId="0" fontId="15" fillId="0" borderId="20" xfId="43" applyFont="1" applyBorder="1" applyAlignment="1">
      <alignment horizontal="center"/>
    </xf>
    <xf numFmtId="0" fontId="15" fillId="24" borderId="20" xfId="43" applyFont="1" applyFill="1" applyBorder="1" applyAlignment="1">
      <alignment horizontal="center"/>
    </xf>
    <xf numFmtId="173" fontId="9" fillId="0" borderId="16" xfId="33" applyNumberFormat="1" applyFont="1" applyBorder="1"/>
    <xf numFmtId="167" fontId="9" fillId="0" borderId="23" xfId="40" applyNumberFormat="1" applyFont="1" applyBorder="1" applyAlignment="1">
      <alignment horizontal="center"/>
    </xf>
    <xf numFmtId="167" fontId="10" fillId="0" borderId="36" xfId="40" applyNumberFormat="1" applyFont="1" applyBorder="1" applyAlignment="1">
      <alignment horizontal="center"/>
    </xf>
    <xf numFmtId="0" fontId="12" fillId="0" borderId="71" xfId="43" applyFont="1" applyBorder="1"/>
    <xf numFmtId="0" fontId="12" fillId="0" borderId="61" xfId="43" applyFont="1" applyBorder="1"/>
    <xf numFmtId="0" fontId="9" fillId="0" borderId="24" xfId="41" applyFont="1" applyBorder="1" applyAlignment="1">
      <alignment horizontal="left" wrapText="1"/>
    </xf>
    <xf numFmtId="0" fontId="47" fillId="0" borderId="26" xfId="41" applyFont="1" applyBorder="1"/>
    <xf numFmtId="173" fontId="47" fillId="0" borderId="52" xfId="41" applyNumberFormat="1" applyFont="1" applyBorder="1"/>
    <xf numFmtId="0" fontId="47" fillId="0" borderId="73" xfId="41" applyFont="1" applyBorder="1"/>
    <xf numFmtId="0" fontId="47" fillId="0" borderId="10" xfId="41" applyFont="1" applyBorder="1"/>
    <xf numFmtId="37" fontId="47" fillId="0" borderId="74" xfId="41" applyNumberFormat="1" applyFont="1" applyBorder="1"/>
    <xf numFmtId="173" fontId="47" fillId="0" borderId="13" xfId="41" applyNumberFormat="1" applyFont="1" applyBorder="1"/>
    <xf numFmtId="171" fontId="47" fillId="0" borderId="73" xfId="41" applyNumberFormat="1" applyFont="1" applyBorder="1"/>
    <xf numFmtId="0" fontId="47" fillId="0" borderId="62" xfId="41" applyFont="1" applyBorder="1"/>
    <xf numFmtId="173" fontId="47" fillId="0" borderId="10" xfId="41" applyNumberFormat="1" applyFont="1" applyBorder="1"/>
    <xf numFmtId="0" fontId="47" fillId="0" borderId="11" xfId="41" applyFont="1" applyBorder="1"/>
    <xf numFmtId="0" fontId="47" fillId="0" borderId="64" xfId="41" applyFont="1" applyBorder="1"/>
    <xf numFmtId="0" fontId="9" fillId="0" borderId="46" xfId="41" applyFont="1" applyBorder="1" applyAlignment="1">
      <alignment horizontal="left" wrapText="1"/>
    </xf>
    <xf numFmtId="0" fontId="47" fillId="0" borderId="15" xfId="41" applyFont="1" applyBorder="1"/>
    <xf numFmtId="0" fontId="47" fillId="0" borderId="72" xfId="41" applyFont="1" applyBorder="1"/>
    <xf numFmtId="0" fontId="47" fillId="0" borderId="12" xfId="41" applyFont="1" applyBorder="1"/>
    <xf numFmtId="37" fontId="47" fillId="0" borderId="72" xfId="41" applyNumberFormat="1" applyFont="1" applyBorder="1"/>
    <xf numFmtId="171" fontId="47" fillId="0" borderId="72" xfId="41" applyNumberFormat="1" applyFont="1" applyBorder="1"/>
    <xf numFmtId="0" fontId="47" fillId="0" borderId="63" xfId="41" applyFont="1" applyBorder="1"/>
    <xf numFmtId="173" fontId="47" fillId="0" borderId="12" xfId="41" applyNumberFormat="1" applyFont="1" applyBorder="1"/>
    <xf numFmtId="0" fontId="47" fillId="0" borderId="13" xfId="41" applyFont="1" applyBorder="1"/>
    <xf numFmtId="0" fontId="47" fillId="0" borderId="61" xfId="41" applyFont="1" applyBorder="1"/>
    <xf numFmtId="0" fontId="9" fillId="29" borderId="25" xfId="41" applyFont="1" applyFill="1" applyBorder="1" applyAlignment="1">
      <alignment horizontal="left" wrapText="1"/>
    </xf>
    <xf numFmtId="0" fontId="12" fillId="29" borderId="25" xfId="41" applyFont="1" applyFill="1" applyBorder="1" applyAlignment="1">
      <alignment horizontal="left" wrapText="1"/>
    </xf>
    <xf numFmtId="0" fontId="9" fillId="0" borderId="25" xfId="41" applyFont="1" applyBorder="1" applyAlignment="1">
      <alignment horizontal="left" wrapText="1"/>
    </xf>
    <xf numFmtId="0" fontId="9" fillId="0" borderId="25" xfId="41" applyFont="1" applyBorder="1" applyAlignment="1">
      <alignment horizontal="left"/>
    </xf>
    <xf numFmtId="1" fontId="47" fillId="0" borderId="72" xfId="41" applyNumberFormat="1" applyFont="1" applyBorder="1"/>
    <xf numFmtId="1" fontId="47" fillId="0" borderId="61" xfId="41" applyNumberFormat="1" applyFont="1" applyBorder="1"/>
    <xf numFmtId="0" fontId="9" fillId="29" borderId="28" xfId="41" applyFont="1" applyFill="1" applyBorder="1" applyAlignment="1">
      <alignment horizontal="left" wrapText="1"/>
    </xf>
    <xf numFmtId="0" fontId="47" fillId="0" borderId="67" xfId="41" applyFont="1" applyBorder="1"/>
    <xf numFmtId="173" fontId="47" fillId="0" borderId="75" xfId="41" applyNumberFormat="1" applyFont="1" applyBorder="1"/>
    <xf numFmtId="0" fontId="47" fillId="0" borderId="76" xfId="41" applyFont="1" applyBorder="1"/>
    <xf numFmtId="0" fontId="47" fillId="0" borderId="14" xfId="41" applyFont="1" applyBorder="1"/>
    <xf numFmtId="0" fontId="47" fillId="0" borderId="68" xfId="41" applyFont="1" applyBorder="1"/>
    <xf numFmtId="0" fontId="47" fillId="0" borderId="70" xfId="41" applyFont="1" applyBorder="1"/>
    <xf numFmtId="171" fontId="47" fillId="0" borderId="68" xfId="41" applyNumberFormat="1" applyFont="1" applyBorder="1"/>
    <xf numFmtId="0" fontId="47" fillId="0" borderId="77" xfId="41" applyFont="1" applyBorder="1"/>
    <xf numFmtId="0" fontId="47" fillId="0" borderId="19" xfId="41" applyFont="1" applyBorder="1"/>
    <xf numFmtId="0" fontId="47" fillId="0" borderId="60" xfId="41" applyFont="1" applyBorder="1"/>
    <xf numFmtId="0" fontId="15" fillId="0" borderId="65" xfId="0" applyFont="1" applyBorder="1" applyAlignment="1">
      <alignment horizontal="center"/>
    </xf>
    <xf numFmtId="0" fontId="18" fillId="25" borderId="20" xfId="0" quotePrefix="1" applyFont="1" applyFill="1" applyBorder="1" applyAlignment="1">
      <alignment horizontal="center"/>
    </xf>
    <xf numFmtId="169" fontId="14" fillId="0" borderId="15" xfId="32" applyNumberFormat="1" applyFont="1" applyFill="1" applyBorder="1" applyAlignment="1"/>
    <xf numFmtId="169" fontId="14" fillId="0" borderId="12" xfId="32" applyNumberFormat="1" applyFont="1" applyFill="1" applyBorder="1" applyAlignment="1"/>
    <xf numFmtId="0" fontId="42" fillId="0" borderId="0" xfId="0" quotePrefix="1" applyFont="1" applyBorder="1" applyAlignment="1">
      <alignment horizontal="left"/>
    </xf>
    <xf numFmtId="0" fontId="14" fillId="0" borderId="0" xfId="0" applyFont="1" applyBorder="1"/>
    <xf numFmtId="0" fontId="14" fillId="0" borderId="0" xfId="0" applyFont="1" applyBorder="1" applyAlignment="1">
      <alignment horizontal="center"/>
    </xf>
    <xf numFmtId="0" fontId="41" fillId="25" borderId="23" xfId="0" quotePrefix="1" applyFont="1" applyFill="1" applyBorder="1" applyAlignment="1">
      <alignment horizontal="center"/>
    </xf>
    <xf numFmtId="167" fontId="14" fillId="0" borderId="75" xfId="0" applyNumberFormat="1" applyFont="1" applyFill="1" applyBorder="1" applyAlignment="1"/>
    <xf numFmtId="9" fontId="18" fillId="0" borderId="32" xfId="0" applyNumberFormat="1" applyFont="1" applyFill="1" applyBorder="1" applyAlignment="1">
      <alignment horizontal="left"/>
    </xf>
    <xf numFmtId="1" fontId="41" fillId="26" borderId="34" xfId="0" applyNumberFormat="1" applyFont="1" applyFill="1" applyBorder="1" applyAlignment="1">
      <alignment horizontal="center" vertical="center"/>
    </xf>
    <xf numFmtId="167" fontId="14" fillId="0" borderId="34" xfId="0" applyNumberFormat="1" applyFont="1" applyFill="1" applyBorder="1" applyAlignment="1">
      <alignment horizontal="center" vertical="center"/>
    </xf>
    <xf numFmtId="169" fontId="41" fillId="26" borderId="34" xfId="32" applyNumberFormat="1" applyFont="1" applyFill="1" applyBorder="1" applyAlignment="1">
      <alignment horizontal="center" vertical="center"/>
    </xf>
    <xf numFmtId="167" fontId="14" fillId="0" borderId="34" xfId="51" applyNumberFormat="1" applyFont="1" applyFill="1" applyBorder="1" applyAlignment="1">
      <alignment horizontal="center" vertical="center"/>
    </xf>
    <xf numFmtId="169" fontId="18" fillId="26" borderId="34" xfId="32" applyNumberFormat="1" applyFont="1" applyFill="1" applyBorder="1" applyAlignment="1">
      <alignment horizontal="center" vertical="center"/>
    </xf>
    <xf numFmtId="167" fontId="14" fillId="0" borderId="59" xfId="0" applyNumberFormat="1" applyFont="1" applyFill="1" applyBorder="1" applyAlignment="1">
      <alignment horizontal="center" vertical="center"/>
    </xf>
    <xf numFmtId="169" fontId="14" fillId="0" borderId="78" xfId="32" applyNumberFormat="1" applyFont="1" applyFill="1" applyBorder="1" applyAlignment="1"/>
    <xf numFmtId="169" fontId="14" fillId="0" borderId="67" xfId="32" applyNumberFormat="1" applyFont="1" applyFill="1" applyBorder="1" applyAlignment="1"/>
    <xf numFmtId="167" fontId="14" fillId="0" borderId="79" xfId="51" applyNumberFormat="1" applyFont="1" applyFill="1" applyBorder="1" applyAlignment="1">
      <alignment horizontal="center"/>
    </xf>
    <xf numFmtId="167" fontId="14" fillId="0" borderId="18" xfId="51" applyNumberFormat="1" applyFont="1" applyFill="1" applyBorder="1" applyAlignment="1">
      <alignment horizontal="center"/>
    </xf>
    <xf numFmtId="167" fontId="14" fillId="0" borderId="69" xfId="51" applyNumberFormat="1" applyFont="1" applyFill="1" applyBorder="1" applyAlignment="1">
      <alignment horizontal="center"/>
    </xf>
    <xf numFmtId="169" fontId="14" fillId="0" borderId="78" xfId="32" applyNumberFormat="1" applyFont="1" applyFill="1" applyBorder="1" applyAlignment="1">
      <alignment horizontal="center"/>
    </xf>
    <xf numFmtId="169" fontId="14" fillId="0" borderId="15" xfId="32" applyNumberFormat="1" applyFont="1" applyFill="1" applyBorder="1" applyAlignment="1">
      <alignment horizontal="center"/>
    </xf>
    <xf numFmtId="169" fontId="14" fillId="0" borderId="67" xfId="32" applyNumberFormat="1" applyFont="1" applyFill="1" applyBorder="1" applyAlignment="1">
      <alignment horizontal="center"/>
    </xf>
    <xf numFmtId="0" fontId="41" fillId="25" borderId="20" xfId="0" applyFont="1" applyFill="1" applyBorder="1" applyAlignment="1">
      <alignment horizontal="center"/>
    </xf>
    <xf numFmtId="0" fontId="41" fillId="37" borderId="20" xfId="0" applyFont="1" applyFill="1" applyBorder="1" applyAlignment="1">
      <alignment horizontal="center"/>
    </xf>
    <xf numFmtId="0" fontId="41" fillId="37" borderId="20" xfId="0" quotePrefix="1" applyFont="1" applyFill="1" applyBorder="1" applyAlignment="1">
      <alignment horizontal="center"/>
    </xf>
    <xf numFmtId="9" fontId="41" fillId="25" borderId="20" xfId="51" applyFont="1" applyFill="1" applyBorder="1" applyAlignment="1">
      <alignment horizontal="center"/>
    </xf>
    <xf numFmtId="0" fontId="14" fillId="0" borderId="12" xfId="51" applyNumberFormat="1" applyFont="1" applyFill="1" applyBorder="1" applyAlignment="1"/>
    <xf numFmtId="0" fontId="14" fillId="0" borderId="12" xfId="0" applyFont="1" applyBorder="1"/>
    <xf numFmtId="0" fontId="14" fillId="0" borderId="13" xfId="0" applyFont="1" applyBorder="1"/>
    <xf numFmtId="1" fontId="14" fillId="0" borderId="29" xfId="51" applyNumberFormat="1" applyFont="1" applyFill="1" applyBorder="1" applyAlignment="1">
      <alignment horizontal="center"/>
    </xf>
    <xf numFmtId="0" fontId="14" fillId="0" borderId="15" xfId="0" applyFont="1" applyBorder="1"/>
    <xf numFmtId="9" fontId="18" fillId="0" borderId="28" xfId="0" applyNumberFormat="1" applyFont="1" applyFill="1" applyBorder="1" applyAlignment="1">
      <alignment horizontal="left"/>
    </xf>
    <xf numFmtId="0" fontId="18" fillId="26" borderId="16" xfId="0" applyFont="1" applyFill="1" applyBorder="1" applyAlignment="1">
      <alignment horizontal="left"/>
    </xf>
    <xf numFmtId="0" fontId="15" fillId="26" borderId="34" xfId="0" applyNumberFormat="1" applyFont="1" applyFill="1" applyBorder="1" applyAlignment="1"/>
    <xf numFmtId="1" fontId="14" fillId="29" borderId="34" xfId="51" applyNumberFormat="1" applyFont="1" applyFill="1" applyBorder="1" applyAlignment="1">
      <alignment horizontal="center"/>
    </xf>
    <xf numFmtId="3" fontId="14" fillId="29" borderId="59" xfId="0" applyNumberFormat="1" applyFont="1" applyFill="1" applyBorder="1" applyAlignment="1">
      <alignment horizontal="center"/>
    </xf>
    <xf numFmtId="0" fontId="14" fillId="0" borderId="18" xfId="0" applyFont="1" applyBorder="1"/>
    <xf numFmtId="3" fontId="14" fillId="0" borderId="10" xfId="0" applyNumberFormat="1" applyFont="1" applyBorder="1" applyAlignment="1">
      <alignment horizontal="right"/>
    </xf>
    <xf numFmtId="3" fontId="14" fillId="0" borderId="12" xfId="0" applyNumberFormat="1" applyFont="1" applyBorder="1" applyAlignment="1">
      <alignment horizontal="right"/>
    </xf>
    <xf numFmtId="3" fontId="14" fillId="0" borderId="14" xfId="0" applyNumberFormat="1" applyFont="1" applyBorder="1" applyAlignment="1">
      <alignment horizontal="right"/>
    </xf>
    <xf numFmtId="3" fontId="15" fillId="0" borderId="16" xfId="0" applyNumberFormat="1" applyFont="1" applyBorder="1" applyAlignment="1">
      <alignment horizontal="right"/>
    </xf>
    <xf numFmtId="3" fontId="14" fillId="0" borderId="26" xfId="0" applyNumberFormat="1" applyFont="1" applyBorder="1" applyAlignment="1">
      <alignment horizontal="right"/>
    </xf>
    <xf numFmtId="3" fontId="14" fillId="0" borderId="15" xfId="0" applyNumberFormat="1" applyFont="1" applyBorder="1" applyAlignment="1">
      <alignment horizontal="right"/>
    </xf>
    <xf numFmtId="3" fontId="14" fillId="0" borderId="27" xfId="0" applyNumberFormat="1" applyFont="1" applyBorder="1" applyAlignment="1">
      <alignment horizontal="right"/>
    </xf>
    <xf numFmtId="3" fontId="21" fillId="0" borderId="24" xfId="0" applyNumberFormat="1" applyFont="1" applyBorder="1" applyAlignment="1">
      <alignment horizontal="right"/>
    </xf>
    <xf numFmtId="3" fontId="21" fillId="0" borderId="25" xfId="0" applyNumberFormat="1" applyFont="1" applyBorder="1" applyAlignment="1">
      <alignment horizontal="right"/>
    </xf>
    <xf numFmtId="3" fontId="21" fillId="0" borderId="28" xfId="0" applyNumberFormat="1" applyFont="1" applyBorder="1" applyAlignment="1">
      <alignment horizontal="right"/>
    </xf>
    <xf numFmtId="167" fontId="14" fillId="0" borderId="17" xfId="0" applyNumberFormat="1" applyFont="1" applyBorder="1" applyAlignment="1">
      <alignment horizontal="right"/>
    </xf>
    <xf numFmtId="167" fontId="14" fillId="0" borderId="18" xfId="0" applyNumberFormat="1" applyFont="1" applyBorder="1" applyAlignment="1">
      <alignment horizontal="right"/>
    </xf>
    <xf numFmtId="167" fontId="14" fillId="0" borderId="30" xfId="0" applyNumberFormat="1" applyFont="1" applyBorder="1" applyAlignment="1">
      <alignment horizontal="right"/>
    </xf>
    <xf numFmtId="0" fontId="14" fillId="0" borderId="20" xfId="0" applyFont="1" applyBorder="1"/>
    <xf numFmtId="0" fontId="18" fillId="0" borderId="64" xfId="0" quotePrefix="1" applyFont="1" applyBorder="1" applyAlignment="1">
      <alignment horizontal="left"/>
    </xf>
    <xf numFmtId="0" fontId="18" fillId="0" borderId="61" xfId="0" applyFont="1" applyBorder="1"/>
    <xf numFmtId="0" fontId="18" fillId="0" borderId="61" xfId="0" quotePrefix="1" applyFont="1" applyBorder="1" applyAlignment="1">
      <alignment horizontal="left"/>
    </xf>
    <xf numFmtId="0" fontId="18" fillId="0" borderId="71" xfId="0" applyFont="1" applyBorder="1"/>
    <xf numFmtId="167" fontId="18" fillId="0" borderId="70" xfId="0" applyNumberFormat="1" applyFont="1" applyBorder="1" applyAlignment="1">
      <alignment horizontal="center"/>
    </xf>
    <xf numFmtId="167" fontId="18" fillId="0" borderId="69" xfId="0" applyNumberFormat="1" applyFont="1" applyBorder="1" applyAlignment="1">
      <alignment horizontal="center"/>
    </xf>
    <xf numFmtId="167" fontId="18" fillId="0" borderId="19" xfId="0" applyNumberFormat="1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167" fontId="18" fillId="0" borderId="34" xfId="0" applyNumberFormat="1" applyFont="1" applyBorder="1" applyAlignment="1">
      <alignment horizontal="center"/>
    </xf>
    <xf numFmtId="167" fontId="18" fillId="0" borderId="50" xfId="0" applyNumberFormat="1" applyFont="1" applyBorder="1" applyAlignment="1">
      <alignment horizontal="center"/>
    </xf>
    <xf numFmtId="167" fontId="18" fillId="0" borderId="59" xfId="0" applyNumberFormat="1" applyFont="1" applyBorder="1" applyAlignment="1">
      <alignment horizontal="center"/>
    </xf>
    <xf numFmtId="3" fontId="16" fillId="0" borderId="26" xfId="0" applyNumberFormat="1" applyFont="1" applyBorder="1" applyAlignment="1">
      <alignment horizontal="center"/>
    </xf>
    <xf numFmtId="3" fontId="16" fillId="0" borderId="15" xfId="0" applyNumberFormat="1" applyFont="1" applyBorder="1" applyAlignment="1">
      <alignment horizontal="center"/>
    </xf>
    <xf numFmtId="3" fontId="16" fillId="0" borderId="15" xfId="0" quotePrefix="1" applyNumberFormat="1" applyFont="1" applyBorder="1" applyAlignment="1">
      <alignment horizontal="center"/>
    </xf>
    <xf numFmtId="3" fontId="14" fillId="0" borderId="25" xfId="0" applyNumberFormat="1" applyFont="1" applyBorder="1"/>
    <xf numFmtId="3" fontId="14" fillId="0" borderId="15" xfId="0" applyNumberFormat="1" applyFont="1" applyBorder="1"/>
    <xf numFmtId="3" fontId="20" fillId="0" borderId="32" xfId="0" applyNumberFormat="1" applyFont="1" applyBorder="1" applyAlignment="1">
      <alignment horizontal="center"/>
    </xf>
    <xf numFmtId="3" fontId="16" fillId="0" borderId="67" xfId="0" applyNumberFormat="1" applyFont="1" applyBorder="1" applyAlignment="1">
      <alignment horizontal="center"/>
    </xf>
    <xf numFmtId="3" fontId="20" fillId="0" borderId="16" xfId="0" applyNumberFormat="1" applyFont="1" applyBorder="1" applyAlignment="1">
      <alignment horizontal="center"/>
    </xf>
    <xf numFmtId="3" fontId="18" fillId="0" borderId="33" xfId="0" applyNumberFormat="1" applyFont="1" applyBorder="1" applyAlignment="1">
      <alignment horizontal="center"/>
    </xf>
    <xf numFmtId="3" fontId="16" fillId="0" borderId="10" xfId="0" applyNumberFormat="1" applyFont="1" applyBorder="1" applyAlignment="1">
      <alignment horizontal="center"/>
    </xf>
    <xf numFmtId="3" fontId="16" fillId="0" borderId="12" xfId="0" applyNumberFormat="1" applyFont="1" applyBorder="1" applyAlignment="1">
      <alignment horizontal="center"/>
    </xf>
    <xf numFmtId="3" fontId="14" fillId="0" borderId="12" xfId="0" applyNumberFormat="1" applyFont="1" applyBorder="1"/>
    <xf numFmtId="3" fontId="16" fillId="0" borderId="70" xfId="0" applyNumberFormat="1" applyFont="1" applyBorder="1" applyAlignment="1">
      <alignment horizontal="center"/>
    </xf>
    <xf numFmtId="3" fontId="18" fillId="0" borderId="34" xfId="0" applyNumberFormat="1" applyFont="1" applyBorder="1" applyAlignment="1">
      <alignment horizontal="center"/>
    </xf>
    <xf numFmtId="3" fontId="20" fillId="0" borderId="24" xfId="0" quotePrefix="1" applyNumberFormat="1" applyFont="1" applyBorder="1" applyAlignment="1">
      <alignment horizontal="center"/>
    </xf>
    <xf numFmtId="3" fontId="20" fillId="0" borderId="25" xfId="0" quotePrefix="1" applyNumberFormat="1" applyFont="1" applyBorder="1" applyAlignment="1">
      <alignment horizontal="center"/>
    </xf>
    <xf numFmtId="0" fontId="18" fillId="0" borderId="21" xfId="0" applyFont="1" applyBorder="1" applyAlignment="1">
      <alignment horizontal="centerContinuous"/>
    </xf>
    <xf numFmtId="169" fontId="16" fillId="0" borderId="10" xfId="32" applyNumberFormat="1" applyFont="1" applyBorder="1" applyAlignment="1">
      <alignment horizontal="center"/>
    </xf>
    <xf numFmtId="169" fontId="16" fillId="0" borderId="12" xfId="32" applyNumberFormat="1" applyFont="1" applyBorder="1" applyAlignment="1">
      <alignment horizontal="center"/>
    </xf>
    <xf numFmtId="169" fontId="14" fillId="0" borderId="12" xfId="32" applyNumberFormat="1" applyFont="1" applyBorder="1"/>
    <xf numFmtId="169" fontId="16" fillId="0" borderId="70" xfId="32" applyNumberFormat="1" applyFont="1" applyBorder="1" applyAlignment="1">
      <alignment horizontal="center"/>
    </xf>
    <xf numFmtId="169" fontId="20" fillId="0" borderId="24" xfId="32" applyNumberFormat="1" applyFont="1" applyBorder="1" applyAlignment="1">
      <alignment horizontal="center"/>
    </xf>
    <xf numFmtId="169" fontId="16" fillId="0" borderId="26" xfId="32" applyNumberFormat="1" applyFont="1" applyBorder="1" applyAlignment="1">
      <alignment horizontal="center"/>
    </xf>
    <xf numFmtId="169" fontId="20" fillId="0" borderId="25" xfId="32" applyNumberFormat="1" applyFont="1" applyBorder="1" applyAlignment="1">
      <alignment horizontal="center"/>
    </xf>
    <xf numFmtId="169" fontId="16" fillId="0" borderId="15" xfId="32" applyNumberFormat="1" applyFont="1" applyBorder="1" applyAlignment="1">
      <alignment horizontal="center"/>
    </xf>
    <xf numFmtId="169" fontId="16" fillId="0" borderId="15" xfId="32" quotePrefix="1" applyNumberFormat="1" applyFont="1" applyBorder="1" applyAlignment="1">
      <alignment horizontal="center"/>
    </xf>
    <xf numFmtId="169" fontId="14" fillId="0" borderId="25" xfId="32" applyNumberFormat="1" applyFont="1" applyBorder="1"/>
    <xf numFmtId="169" fontId="14" fillId="0" borderId="15" xfId="32" applyNumberFormat="1" applyFont="1" applyBorder="1"/>
    <xf numFmtId="169" fontId="20" fillId="0" borderId="32" xfId="32" applyNumberFormat="1" applyFont="1" applyBorder="1" applyAlignment="1">
      <alignment horizontal="center"/>
    </xf>
    <xf numFmtId="169" fontId="16" fillId="0" borderId="67" xfId="32" applyNumberFormat="1" applyFont="1" applyBorder="1" applyAlignment="1">
      <alignment horizontal="center"/>
    </xf>
    <xf numFmtId="169" fontId="20" fillId="0" borderId="16" xfId="32" applyNumberFormat="1" applyFont="1" applyBorder="1" applyAlignment="1">
      <alignment horizontal="center"/>
    </xf>
    <xf numFmtId="169" fontId="18" fillId="0" borderId="33" xfId="32" applyNumberFormat="1" applyFont="1" applyBorder="1" applyAlignment="1">
      <alignment horizontal="center"/>
    </xf>
    <xf numFmtId="169" fontId="20" fillId="0" borderId="24" xfId="32" quotePrefix="1" applyNumberFormat="1" applyFont="1" applyBorder="1" applyAlignment="1">
      <alignment horizontal="center"/>
    </xf>
    <xf numFmtId="169" fontId="20" fillId="0" borderId="25" xfId="32" quotePrefix="1" applyNumberFormat="1" applyFont="1" applyBorder="1" applyAlignment="1">
      <alignment horizontal="center"/>
    </xf>
    <xf numFmtId="0" fontId="18" fillId="24" borderId="73" xfId="0" quotePrefix="1" applyFont="1" applyFill="1" applyBorder="1" applyAlignment="1">
      <alignment horizontal="left"/>
    </xf>
    <xf numFmtId="14" fontId="18" fillId="0" borderId="11" xfId="0" applyNumberFormat="1" applyFont="1" applyBorder="1" applyAlignment="1">
      <alignment horizontal="center"/>
    </xf>
    <xf numFmtId="0" fontId="18" fillId="24" borderId="72" xfId="0" applyFont="1" applyFill="1" applyBorder="1"/>
    <xf numFmtId="14" fontId="18" fillId="0" borderId="13" xfId="0" applyNumberFormat="1" applyFont="1" applyBorder="1" applyAlignment="1">
      <alignment horizontal="center"/>
    </xf>
    <xf numFmtId="0" fontId="18" fillId="24" borderId="64" xfId="0" quotePrefix="1" applyFont="1" applyFill="1" applyBorder="1" applyAlignment="1">
      <alignment horizontal="left"/>
    </xf>
    <xf numFmtId="0" fontId="18" fillId="24" borderId="61" xfId="0" applyFont="1" applyFill="1" applyBorder="1"/>
    <xf numFmtId="0" fontId="18" fillId="24" borderId="61" xfId="0" applyFont="1" applyFill="1" applyBorder="1" applyAlignment="1">
      <alignment horizontal="left"/>
    </xf>
    <xf numFmtId="15" fontId="14" fillId="0" borderId="80" xfId="0" applyNumberFormat="1" applyFont="1" applyBorder="1"/>
    <xf numFmtId="0" fontId="18" fillId="24" borderId="71" xfId="0" applyFont="1" applyFill="1" applyBorder="1"/>
    <xf numFmtId="0" fontId="15" fillId="24" borderId="21" xfId="0" applyFont="1" applyFill="1" applyBorder="1" applyAlignment="1">
      <alignment horizontal="center"/>
    </xf>
    <xf numFmtId="167" fontId="18" fillId="0" borderId="62" xfId="0" applyNumberFormat="1" applyFont="1" applyBorder="1" applyAlignment="1">
      <alignment horizontal="center"/>
    </xf>
    <xf numFmtId="167" fontId="18" fillId="0" borderId="63" xfId="0" applyNumberFormat="1" applyFont="1" applyBorder="1" applyAlignment="1">
      <alignment horizontal="center"/>
    </xf>
    <xf numFmtId="167" fontId="18" fillId="0" borderId="77" xfId="0" applyNumberFormat="1" applyFont="1" applyBorder="1" applyAlignment="1">
      <alignment horizontal="center"/>
    </xf>
    <xf numFmtId="169" fontId="20" fillId="0" borderId="28" xfId="32" applyNumberFormat="1" applyFont="1" applyBorder="1" applyAlignment="1">
      <alignment horizontal="center"/>
    </xf>
    <xf numFmtId="169" fontId="15" fillId="0" borderId="34" xfId="32" applyNumberFormat="1" applyFont="1" applyBorder="1" applyAlignment="1">
      <alignment horizontal="center"/>
    </xf>
    <xf numFmtId="169" fontId="16" fillId="0" borderId="24" xfId="32" applyNumberFormat="1" applyFont="1" applyBorder="1" applyAlignment="1">
      <alignment horizontal="center"/>
    </xf>
    <xf numFmtId="169" fontId="16" fillId="0" borderId="25" xfId="32" applyNumberFormat="1" applyFont="1" applyBorder="1" applyAlignment="1">
      <alignment horizontal="center"/>
    </xf>
    <xf numFmtId="169" fontId="16" fillId="0" borderId="28" xfId="32" applyNumberFormat="1" applyFont="1" applyBorder="1" applyAlignment="1">
      <alignment horizontal="center"/>
    </xf>
    <xf numFmtId="169" fontId="15" fillId="0" borderId="16" xfId="32" applyNumberFormat="1" applyFont="1" applyBorder="1" applyAlignment="1">
      <alignment horizontal="center"/>
    </xf>
    <xf numFmtId="169" fontId="15" fillId="0" borderId="33" xfId="32" applyNumberFormat="1" applyFont="1" applyBorder="1" applyAlignment="1">
      <alignment horizontal="center"/>
    </xf>
    <xf numFmtId="0" fontId="15" fillId="29" borderId="61" xfId="40" applyFont="1" applyFill="1" applyBorder="1" applyAlignment="1">
      <alignment horizontal="left" wrapText="1"/>
    </xf>
    <xf numFmtId="0" fontId="18" fillId="0" borderId="61" xfId="40" applyFont="1" applyBorder="1" applyAlignment="1">
      <alignment horizontal="left" wrapText="1"/>
    </xf>
    <xf numFmtId="0" fontId="15" fillId="24" borderId="20" xfId="0" applyFont="1" applyFill="1" applyBorder="1"/>
    <xf numFmtId="15" fontId="15" fillId="0" borderId="31" xfId="0" applyNumberFormat="1" applyFont="1" applyBorder="1"/>
    <xf numFmtId="14" fontId="18" fillId="0" borderId="29" xfId="0" applyNumberFormat="1" applyFont="1" applyBorder="1" applyAlignment="1">
      <alignment horizontal="center"/>
    </xf>
    <xf numFmtId="169" fontId="16" fillId="0" borderId="27" xfId="32" applyNumberFormat="1" applyFont="1" applyBorder="1" applyAlignment="1">
      <alignment horizontal="center"/>
    </xf>
    <xf numFmtId="169" fontId="40" fillId="0" borderId="31" xfId="32" applyNumberFormat="1" applyFont="1" applyBorder="1" applyAlignment="1">
      <alignment horizontal="center"/>
    </xf>
    <xf numFmtId="169" fontId="15" fillId="0" borderId="31" xfId="32" applyNumberFormat="1" applyFont="1" applyBorder="1" applyAlignment="1">
      <alignment horizontal="center"/>
    </xf>
    <xf numFmtId="169" fontId="16" fillId="0" borderId="14" xfId="32" applyNumberFormat="1" applyFont="1" applyBorder="1" applyAlignment="1">
      <alignment horizontal="center"/>
    </xf>
    <xf numFmtId="169" fontId="20" fillId="0" borderId="10" xfId="32" quotePrefix="1" applyNumberFormat="1" applyFont="1" applyBorder="1" applyAlignment="1">
      <alignment horizontal="center"/>
    </xf>
    <xf numFmtId="169" fontId="20" fillId="0" borderId="12" xfId="32" applyNumberFormat="1" applyFont="1" applyBorder="1" applyAlignment="1">
      <alignment horizontal="center"/>
    </xf>
    <xf numFmtId="169" fontId="20" fillId="0" borderId="12" xfId="32" quotePrefix="1" applyNumberFormat="1" applyFont="1" applyBorder="1" applyAlignment="1">
      <alignment horizontal="center"/>
    </xf>
    <xf numFmtId="169" fontId="20" fillId="0" borderId="14" xfId="32" applyNumberFormat="1" applyFont="1" applyBorder="1" applyAlignment="1">
      <alignment horizontal="center"/>
    </xf>
    <xf numFmtId="0" fontId="18" fillId="0" borderId="61" xfId="40" applyFont="1" applyBorder="1" applyAlignment="1">
      <alignment horizontal="left"/>
    </xf>
    <xf numFmtId="0" fontId="15" fillId="0" borderId="65" xfId="0" applyFont="1" applyBorder="1"/>
    <xf numFmtId="169" fontId="16" fillId="0" borderId="12" xfId="32" quotePrefix="1" applyNumberFormat="1" applyFont="1" applyBorder="1" applyAlignment="1">
      <alignment horizontal="center"/>
    </xf>
    <xf numFmtId="169" fontId="20" fillId="0" borderId="10" xfId="32" applyNumberFormat="1" applyFont="1" applyBorder="1" applyAlignment="1">
      <alignment horizontal="center"/>
    </xf>
    <xf numFmtId="0" fontId="18" fillId="0" borderId="72" xfId="40" applyFont="1" applyBorder="1" applyAlignment="1">
      <alignment horizontal="left"/>
    </xf>
    <xf numFmtId="15" fontId="15" fillId="0" borderId="80" xfId="0" applyNumberFormat="1" applyFont="1" applyBorder="1"/>
    <xf numFmtId="169" fontId="20" fillId="0" borderId="70" xfId="32" applyNumberFormat="1" applyFont="1" applyBorder="1" applyAlignment="1">
      <alignment horizontal="center"/>
    </xf>
    <xf numFmtId="169" fontId="40" fillId="0" borderId="34" xfId="32" applyNumberFormat="1" applyFont="1" applyBorder="1" applyAlignment="1">
      <alignment horizontal="center"/>
    </xf>
    <xf numFmtId="0" fontId="15" fillId="29" borderId="72" xfId="40" applyFont="1" applyFill="1" applyBorder="1" applyAlignment="1">
      <alignment horizontal="left" wrapText="1"/>
    </xf>
    <xf numFmtId="0" fontId="18" fillId="0" borderId="72" xfId="40" applyFont="1" applyFill="1" applyBorder="1" applyAlignment="1">
      <alignment horizontal="left" wrapText="1"/>
    </xf>
    <xf numFmtId="0" fontId="15" fillId="29" borderId="72" xfId="40" applyFont="1" applyFill="1" applyBorder="1" applyAlignment="1">
      <alignment horizontal="left" vertical="top"/>
    </xf>
    <xf numFmtId="0" fontId="18" fillId="24" borderId="68" xfId="0" applyFont="1" applyFill="1" applyBorder="1"/>
    <xf numFmtId="0" fontId="15" fillId="24" borderId="58" xfId="0" applyFont="1" applyFill="1" applyBorder="1" applyAlignment="1">
      <alignment horizontal="center"/>
    </xf>
    <xf numFmtId="0" fontId="18" fillId="24" borderId="60" xfId="0" applyFont="1" applyFill="1" applyBorder="1"/>
    <xf numFmtId="0" fontId="15" fillId="24" borderId="31" xfId="0" applyFont="1" applyFill="1" applyBorder="1" applyAlignment="1">
      <alignment horizontal="center"/>
    </xf>
    <xf numFmtId="0" fontId="18" fillId="0" borderId="61" xfId="40" applyFont="1" applyFill="1" applyBorder="1" applyAlignment="1">
      <alignment horizontal="left" wrapText="1"/>
    </xf>
    <xf numFmtId="0" fontId="15" fillId="29" borderId="61" xfId="40" applyFont="1" applyFill="1" applyBorder="1" applyAlignment="1">
      <alignment horizontal="left" vertical="top"/>
    </xf>
    <xf numFmtId="169" fontId="20" fillId="0" borderId="24" xfId="32" applyNumberFormat="1" applyFont="1" applyBorder="1" applyAlignment="1">
      <alignment vertical="center"/>
    </xf>
    <xf numFmtId="169" fontId="20" fillId="0" borderId="25" xfId="32" applyNumberFormat="1" applyFont="1" applyBorder="1" applyAlignment="1">
      <alignment vertical="center"/>
    </xf>
    <xf numFmtId="169" fontId="20" fillId="0" borderId="28" xfId="32" applyNumberFormat="1" applyFont="1" applyBorder="1" applyAlignment="1">
      <alignment vertical="center"/>
    </xf>
    <xf numFmtId="169" fontId="16" fillId="0" borderId="73" xfId="32" applyNumberFormat="1" applyFont="1" applyBorder="1" applyAlignment="1">
      <alignment horizontal="center"/>
    </xf>
    <xf numFmtId="169" fontId="16" fillId="0" borderId="72" xfId="32" applyNumberFormat="1" applyFont="1" applyBorder="1" applyAlignment="1">
      <alignment horizontal="center"/>
    </xf>
    <xf numFmtId="169" fontId="16" fillId="0" borderId="76" xfId="32" applyNumberFormat="1" applyFont="1" applyBorder="1" applyAlignment="1">
      <alignment horizontal="center"/>
    </xf>
    <xf numFmtId="14" fontId="18" fillId="0" borderId="52" xfId="0" applyNumberFormat="1" applyFont="1" applyBorder="1" applyAlignment="1">
      <alignment horizontal="center"/>
    </xf>
    <xf numFmtId="14" fontId="18" fillId="0" borderId="24" xfId="0" applyNumberFormat="1" applyFont="1" applyBorder="1" applyAlignment="1">
      <alignment horizontal="center"/>
    </xf>
    <xf numFmtId="14" fontId="18" fillId="0" borderId="28" xfId="0" applyNumberFormat="1" applyFont="1" applyBorder="1" applyAlignment="1">
      <alignment horizontal="center"/>
    </xf>
    <xf numFmtId="0" fontId="15" fillId="29" borderId="61" xfId="40" applyFont="1" applyFill="1" applyBorder="1" applyAlignment="1">
      <alignment horizontal="left"/>
    </xf>
    <xf numFmtId="0" fontId="18" fillId="0" borderId="73" xfId="0" applyFont="1" applyBorder="1" applyAlignment="1">
      <alignment horizontal="left" wrapText="1"/>
    </xf>
    <xf numFmtId="0" fontId="18" fillId="0" borderId="72" xfId="0" applyFont="1" applyBorder="1" applyAlignment="1">
      <alignment horizontal="left" wrapText="1"/>
    </xf>
    <xf numFmtId="0" fontId="15" fillId="29" borderId="72" xfId="40" applyFont="1" applyFill="1" applyBorder="1" applyAlignment="1">
      <alignment horizontal="left"/>
    </xf>
    <xf numFmtId="0" fontId="18" fillId="0" borderId="72" xfId="40" applyFont="1" applyFill="1" applyBorder="1" applyAlignment="1">
      <alignment horizontal="left"/>
    </xf>
    <xf numFmtId="0" fontId="18" fillId="0" borderId="76" xfId="0" applyFont="1" applyBorder="1" applyAlignment="1">
      <alignment horizontal="left" wrapText="1"/>
    </xf>
    <xf numFmtId="169" fontId="20" fillId="0" borderId="10" xfId="32" applyNumberFormat="1" applyFont="1" applyBorder="1" applyAlignment="1">
      <alignment horizontal="center" wrapText="1"/>
    </xf>
    <xf numFmtId="169" fontId="20" fillId="0" borderId="12" xfId="32" applyNumberFormat="1" applyFont="1" applyBorder="1" applyAlignment="1">
      <alignment horizontal="center" wrapText="1"/>
    </xf>
    <xf numFmtId="169" fontId="20" fillId="0" borderId="14" xfId="32" applyNumberFormat="1" applyFont="1" applyBorder="1" applyAlignment="1">
      <alignment horizontal="center" wrapText="1"/>
    </xf>
    <xf numFmtId="3" fontId="16" fillId="0" borderId="26" xfId="48" applyNumberFormat="1" applyFont="1" applyFill="1" applyBorder="1" applyAlignment="1"/>
    <xf numFmtId="3" fontId="16" fillId="0" borderId="15" xfId="48" applyNumberFormat="1" applyFont="1" applyFill="1" applyBorder="1" applyAlignment="1"/>
    <xf numFmtId="3" fontId="16" fillId="0" borderId="67" xfId="48" applyNumberFormat="1" applyFont="1" applyFill="1" applyBorder="1" applyAlignment="1"/>
    <xf numFmtId="3" fontId="20" fillId="0" borderId="24" xfId="48" applyNumberFormat="1" applyFont="1" applyFill="1" applyBorder="1" applyAlignment="1"/>
    <xf numFmtId="3" fontId="20" fillId="0" borderId="25" xfId="48" applyNumberFormat="1" applyFont="1" applyFill="1" applyBorder="1" applyAlignment="1"/>
    <xf numFmtId="3" fontId="20" fillId="0" borderId="28" xfId="48" applyNumberFormat="1" applyFont="1" applyFill="1" applyBorder="1" applyAlignment="1"/>
    <xf numFmtId="167" fontId="18" fillId="0" borderId="17" xfId="48" applyNumberFormat="1" applyFont="1" applyFill="1" applyBorder="1" applyAlignment="1"/>
    <xf numFmtId="167" fontId="18" fillId="0" borderId="18" xfId="48" applyNumberFormat="1" applyFont="1" applyFill="1" applyBorder="1" applyAlignment="1"/>
    <xf numFmtId="167" fontId="18" fillId="0" borderId="69" xfId="48" applyNumberFormat="1" applyFont="1" applyFill="1" applyBorder="1" applyAlignment="1"/>
    <xf numFmtId="167" fontId="15" fillId="0" borderId="50" xfId="0" applyNumberFormat="1" applyFont="1" applyBorder="1" applyAlignment="1"/>
    <xf numFmtId="3" fontId="16" fillId="0" borderId="73" xfId="48" applyNumberFormat="1" applyFont="1" applyFill="1" applyBorder="1" applyAlignment="1"/>
    <xf numFmtId="167" fontId="18" fillId="0" borderId="11" xfId="48" applyNumberFormat="1" applyFont="1" applyFill="1" applyBorder="1" applyAlignment="1"/>
    <xf numFmtId="3" fontId="16" fillId="0" borderId="72" xfId="48" applyNumberFormat="1" applyFont="1" applyFill="1" applyBorder="1" applyAlignment="1"/>
    <xf numFmtId="167" fontId="18" fillId="0" borderId="13" xfId="48" applyNumberFormat="1" applyFont="1" applyFill="1" applyBorder="1" applyAlignment="1"/>
    <xf numFmtId="3" fontId="16" fillId="0" borderId="68" xfId="48" applyNumberFormat="1" applyFont="1" applyFill="1" applyBorder="1" applyAlignment="1"/>
    <xf numFmtId="167" fontId="18" fillId="0" borderId="19" xfId="48" applyNumberFormat="1" applyFont="1" applyFill="1" applyBorder="1" applyAlignment="1"/>
    <xf numFmtId="3" fontId="15" fillId="0" borderId="58" xfId="0" applyNumberFormat="1" applyFont="1" applyBorder="1" applyAlignment="1"/>
    <xf numFmtId="167" fontId="15" fillId="0" borderId="59" xfId="0" applyNumberFormat="1" applyFont="1" applyBorder="1" applyAlignment="1"/>
    <xf numFmtId="3" fontId="20" fillId="0" borderId="32" xfId="48" applyNumberFormat="1" applyFont="1" applyFill="1" applyBorder="1" applyAlignment="1"/>
    <xf numFmtId="3" fontId="15" fillId="0" borderId="16" xfId="0" applyNumberFormat="1" applyFont="1" applyBorder="1" applyAlignment="1"/>
    <xf numFmtId="0" fontId="15" fillId="0" borderId="81" xfId="0" applyFont="1" applyBorder="1" applyAlignment="1">
      <alignment horizontal="center"/>
    </xf>
    <xf numFmtId="49" fontId="15" fillId="0" borderId="24" xfId="0" applyNumberFormat="1" applyFont="1" applyBorder="1" applyAlignment="1">
      <alignment horizontal="center"/>
    </xf>
    <xf numFmtId="49" fontId="15" fillId="0" borderId="25" xfId="0" applyNumberFormat="1" applyFont="1" applyBorder="1" applyAlignment="1">
      <alignment horizontal="center"/>
    </xf>
    <xf numFmtId="49" fontId="15" fillId="0" borderId="28" xfId="0" applyNumberFormat="1" applyFont="1" applyBorder="1" applyAlignment="1">
      <alignment horizontal="center"/>
    </xf>
    <xf numFmtId="0" fontId="18" fillId="0" borderId="37" xfId="0" applyFont="1" applyBorder="1" applyAlignment="1">
      <alignment horizontal="left" wrapText="1"/>
    </xf>
    <xf numFmtId="3" fontId="20" fillId="0" borderId="46" xfId="32" applyNumberFormat="1" applyFont="1" applyBorder="1" applyAlignment="1">
      <alignment horizontal="center" wrapText="1"/>
    </xf>
    <xf numFmtId="3" fontId="16" fillId="0" borderId="37" xfId="32" applyNumberFormat="1" applyFont="1" applyBorder="1" applyAlignment="1">
      <alignment horizontal="center"/>
    </xf>
    <xf numFmtId="167" fontId="18" fillId="0" borderId="37" xfId="0" applyNumberFormat="1" applyFont="1" applyBorder="1" applyAlignment="1">
      <alignment horizontal="center"/>
    </xf>
    <xf numFmtId="3" fontId="16" fillId="0" borderId="37" xfId="0" applyNumberFormat="1" applyFont="1" applyBorder="1" applyAlignment="1">
      <alignment horizontal="center"/>
    </xf>
    <xf numFmtId="3" fontId="20" fillId="0" borderId="46" xfId="0" applyNumberFormat="1" applyFont="1" applyBorder="1" applyAlignment="1">
      <alignment horizontal="center"/>
    </xf>
    <xf numFmtId="14" fontId="18" fillId="0" borderId="37" xfId="0" applyNumberFormat="1" applyFont="1" applyBorder="1" applyAlignment="1">
      <alignment horizontal="center"/>
    </xf>
    <xf numFmtId="0" fontId="18" fillId="0" borderId="24" xfId="0" applyFont="1" applyBorder="1" applyAlignment="1">
      <alignment horizontal="left" wrapText="1"/>
    </xf>
    <xf numFmtId="3" fontId="16" fillId="0" borderId="24" xfId="32" applyNumberFormat="1" applyFont="1" applyBorder="1" applyAlignment="1">
      <alignment horizontal="center"/>
    </xf>
    <xf numFmtId="167" fontId="18" fillId="0" borderId="24" xfId="0" applyNumberFormat="1" applyFont="1" applyBorder="1" applyAlignment="1">
      <alignment horizontal="center"/>
    </xf>
    <xf numFmtId="3" fontId="16" fillId="0" borderId="24" xfId="0" applyNumberFormat="1" applyFont="1" applyBorder="1" applyAlignment="1">
      <alignment horizontal="center"/>
    </xf>
    <xf numFmtId="3" fontId="20" fillId="29" borderId="37" xfId="49" applyNumberFormat="1" applyFont="1" applyFill="1" applyBorder="1" applyAlignment="1">
      <alignment vertical="center"/>
    </xf>
    <xf numFmtId="169" fontId="14" fillId="0" borderId="37" xfId="35" applyNumberFormat="1" applyFont="1" applyBorder="1" applyAlignment="1">
      <alignment vertical="center"/>
    </xf>
    <xf numFmtId="170" fontId="15" fillId="0" borderId="82" xfId="35" applyNumberFormat="1" applyFont="1" applyBorder="1" applyAlignment="1">
      <alignment horizontal="center" vertical="center"/>
    </xf>
    <xf numFmtId="169" fontId="14" fillId="0" borderId="37" xfId="35" applyNumberFormat="1" applyFont="1" applyBorder="1"/>
    <xf numFmtId="3" fontId="20" fillId="29" borderId="53" xfId="49" applyNumberFormat="1" applyFont="1" applyFill="1" applyBorder="1" applyAlignment="1">
      <alignment vertical="center"/>
    </xf>
    <xf numFmtId="169" fontId="14" fillId="0" borderId="53" xfId="35" applyNumberFormat="1" applyFont="1" applyBorder="1"/>
    <xf numFmtId="170" fontId="15" fillId="0" borderId="83" xfId="35" applyNumberFormat="1" applyFont="1" applyBorder="1" applyAlignment="1">
      <alignment horizontal="center" vertical="center"/>
    </xf>
    <xf numFmtId="169" fontId="20" fillId="29" borderId="53" xfId="35" applyNumberFormat="1" applyFont="1" applyFill="1" applyBorder="1" applyAlignment="1">
      <alignment vertical="center"/>
    </xf>
    <xf numFmtId="0" fontId="18" fillId="0" borderId="37" xfId="43" applyFont="1" applyBorder="1" applyAlignment="1">
      <alignment horizontal="left"/>
    </xf>
    <xf numFmtId="0" fontId="18" fillId="0" borderId="24" xfId="43" applyFont="1" applyBorder="1" applyAlignment="1">
      <alignment horizontal="left"/>
    </xf>
    <xf numFmtId="0" fontId="18" fillId="0" borderId="84" xfId="43" applyFont="1" applyBorder="1" applyAlignment="1">
      <alignment horizontal="left" wrapText="1"/>
    </xf>
    <xf numFmtId="3" fontId="15" fillId="27" borderId="46" xfId="43" applyNumberFormat="1" applyFont="1" applyFill="1" applyBorder="1"/>
    <xf numFmtId="3" fontId="14" fillId="0" borderId="78" xfId="35" applyNumberFormat="1" applyFont="1" applyBorder="1"/>
    <xf numFmtId="3" fontId="14" fillId="0" borderId="66" xfId="35" applyNumberFormat="1" applyFont="1" applyBorder="1"/>
    <xf numFmtId="174" fontId="14" fillId="0" borderId="66" xfId="35" applyNumberFormat="1" applyFont="1" applyBorder="1"/>
    <xf numFmtId="3" fontId="14" fillId="0" borderId="66" xfId="35" applyNumberFormat="1" applyFont="1" applyBorder="1" applyAlignment="1"/>
    <xf numFmtId="170" fontId="15" fillId="0" borderId="11" xfId="35" applyNumberFormat="1" applyFont="1" applyBorder="1" applyAlignment="1">
      <alignment horizontal="center" vertical="center"/>
    </xf>
    <xf numFmtId="169" fontId="14" fillId="0" borderId="26" xfId="32" applyNumberFormat="1" applyFont="1" applyFill="1" applyBorder="1" applyAlignment="1"/>
    <xf numFmtId="169" fontId="14" fillId="0" borderId="10" xfId="32" applyNumberFormat="1" applyFont="1" applyFill="1" applyBorder="1" applyAlignment="1"/>
    <xf numFmtId="169" fontId="14" fillId="0" borderId="27" xfId="32" applyNumberFormat="1" applyFont="1" applyFill="1" applyBorder="1" applyAlignment="1"/>
    <xf numFmtId="169" fontId="14" fillId="0" borderId="14" xfId="32" applyNumberFormat="1" applyFont="1" applyFill="1" applyBorder="1" applyAlignment="1"/>
    <xf numFmtId="169" fontId="15" fillId="26" borderId="33" xfId="32" applyNumberFormat="1" applyFont="1" applyFill="1" applyBorder="1" applyAlignment="1"/>
    <xf numFmtId="169" fontId="15" fillId="26" borderId="34" xfId="32" applyNumberFormat="1" applyFont="1" applyFill="1" applyBorder="1" applyAlignment="1"/>
    <xf numFmtId="169" fontId="14" fillId="0" borderId="26" xfId="32" applyNumberFormat="1" applyFont="1" applyBorder="1"/>
    <xf numFmtId="169" fontId="14" fillId="0" borderId="27" xfId="32" applyNumberFormat="1" applyFont="1" applyBorder="1"/>
    <xf numFmtId="0" fontId="14" fillId="0" borderId="17" xfId="0" applyNumberFormat="1" applyFont="1" applyFill="1" applyBorder="1" applyAlignment="1"/>
    <xf numFmtId="0" fontId="14" fillId="0" borderId="18" xfId="51" applyNumberFormat="1" applyFont="1" applyFill="1" applyBorder="1" applyAlignment="1"/>
    <xf numFmtId="0" fontId="14" fillId="0" borderId="18" xfId="0" applyNumberFormat="1" applyFont="1" applyFill="1" applyBorder="1" applyAlignment="1"/>
    <xf numFmtId="0" fontId="14" fillId="0" borderId="30" xfId="0" applyNumberFormat="1" applyFont="1" applyFill="1" applyBorder="1" applyAlignment="1"/>
    <xf numFmtId="169" fontId="14" fillId="0" borderId="73" xfId="32" applyNumberFormat="1" applyFont="1" applyFill="1" applyBorder="1" applyAlignment="1"/>
    <xf numFmtId="169" fontId="14" fillId="0" borderId="72" xfId="32" applyNumberFormat="1" applyFont="1" applyFill="1" applyBorder="1" applyAlignment="1"/>
    <xf numFmtId="169" fontId="14" fillId="0" borderId="72" xfId="32" applyNumberFormat="1" applyFont="1" applyBorder="1"/>
    <xf numFmtId="169" fontId="14" fillId="0" borderId="76" xfId="32" applyNumberFormat="1" applyFont="1" applyFill="1" applyBorder="1" applyAlignment="1"/>
    <xf numFmtId="167" fontId="14" fillId="0" borderId="79" xfId="0" applyNumberFormat="1" applyFont="1" applyFill="1" applyBorder="1" applyAlignment="1"/>
    <xf numFmtId="167" fontId="14" fillId="0" borderId="18" xfId="0" applyNumberFormat="1" applyFont="1" applyFill="1" applyBorder="1" applyAlignment="1"/>
    <xf numFmtId="167" fontId="14" fillId="0" borderId="69" xfId="0" applyNumberFormat="1" applyFont="1" applyFill="1" applyBorder="1" applyAlignment="1"/>
    <xf numFmtId="169" fontId="14" fillId="0" borderId="73" xfId="32" applyNumberFormat="1" applyFont="1" applyFill="1" applyBorder="1" applyAlignment="1">
      <alignment horizontal="center"/>
    </xf>
    <xf numFmtId="167" fontId="14" fillId="0" borderId="11" xfId="51" applyNumberFormat="1" applyFont="1" applyFill="1" applyBorder="1" applyAlignment="1">
      <alignment horizontal="center"/>
    </xf>
    <xf numFmtId="169" fontId="14" fillId="0" borderId="72" xfId="32" applyNumberFormat="1" applyFont="1" applyFill="1" applyBorder="1" applyAlignment="1">
      <alignment horizontal="center"/>
    </xf>
    <xf numFmtId="167" fontId="14" fillId="0" borderId="13" xfId="51" applyNumberFormat="1" applyFont="1" applyFill="1" applyBorder="1" applyAlignment="1">
      <alignment horizontal="center"/>
    </xf>
    <xf numFmtId="169" fontId="14" fillId="0" borderId="76" xfId="32" applyNumberFormat="1" applyFont="1" applyFill="1" applyBorder="1" applyAlignment="1">
      <alignment horizontal="center"/>
    </xf>
    <xf numFmtId="167" fontId="14" fillId="0" borderId="29" xfId="51" applyNumberFormat="1" applyFont="1" applyFill="1" applyBorder="1" applyAlignment="1">
      <alignment horizontal="center"/>
    </xf>
    <xf numFmtId="0" fontId="15" fillId="29" borderId="25" xfId="40" applyFont="1" applyFill="1" applyBorder="1" applyAlignment="1">
      <alignment horizontal="left" wrapText="1"/>
    </xf>
    <xf numFmtId="0" fontId="18" fillId="0" borderId="25" xfId="40" applyFont="1" applyFill="1" applyBorder="1" applyAlignment="1">
      <alignment horizontal="left" wrapText="1"/>
    </xf>
    <xf numFmtId="0" fontId="18" fillId="0" borderId="25" xfId="40" applyFont="1" applyBorder="1" applyAlignment="1">
      <alignment horizontal="left" wrapText="1"/>
    </xf>
    <xf numFmtId="0" fontId="18" fillId="0" borderId="25" xfId="40" applyFont="1" applyFill="1" applyBorder="1" applyAlignment="1">
      <alignment horizontal="left"/>
    </xf>
    <xf numFmtId="0" fontId="18" fillId="0" borderId="25" xfId="40" applyFont="1" applyBorder="1" applyAlignment="1">
      <alignment horizontal="left"/>
    </xf>
    <xf numFmtId="0" fontId="18" fillId="29" borderId="25" xfId="40" applyFont="1" applyFill="1" applyBorder="1" applyAlignment="1">
      <alignment horizontal="left" wrapText="1"/>
    </xf>
    <xf numFmtId="0" fontId="15" fillId="29" borderId="25" xfId="40" applyFont="1" applyFill="1" applyBorder="1" applyAlignment="1">
      <alignment horizontal="left"/>
    </xf>
    <xf numFmtId="0" fontId="18" fillId="0" borderId="61" xfId="0" applyFont="1" applyBorder="1" applyAlignment="1"/>
    <xf numFmtId="0" fontId="18" fillId="0" borderId="71" xfId="0" applyFont="1" applyBorder="1" applyAlignment="1"/>
    <xf numFmtId="0" fontId="9" fillId="0" borderId="24" xfId="61" applyFont="1" applyBorder="1" applyAlignment="1">
      <alignment horizontal="left" wrapText="1"/>
    </xf>
    <xf numFmtId="0" fontId="47" fillId="0" borderId="26" xfId="61" applyFont="1" applyBorder="1"/>
    <xf numFmtId="173" fontId="47" fillId="0" borderId="52" xfId="61" applyNumberFormat="1" applyFont="1" applyBorder="1"/>
    <xf numFmtId="0" fontId="47" fillId="0" borderId="73" xfId="61" applyFont="1" applyBorder="1"/>
    <xf numFmtId="0" fontId="47" fillId="0" borderId="10" xfId="61" applyFont="1" applyBorder="1"/>
    <xf numFmtId="37" fontId="47" fillId="0" borderId="74" xfId="61" applyNumberFormat="1" applyFont="1" applyBorder="1"/>
    <xf numFmtId="171" fontId="47" fillId="0" borderId="73" xfId="61" applyNumberFormat="1" applyFont="1" applyBorder="1"/>
    <xf numFmtId="173" fontId="47" fillId="0" borderId="51" xfId="61" applyNumberFormat="1" applyFont="1" applyBorder="1"/>
    <xf numFmtId="0" fontId="47" fillId="0" borderId="62" xfId="61" applyFont="1" applyBorder="1"/>
    <xf numFmtId="173" fontId="47" fillId="0" borderId="92" xfId="61" applyNumberFormat="1" applyFont="1" applyBorder="1"/>
    <xf numFmtId="0" fontId="47" fillId="0" borderId="11" xfId="61" applyFont="1" applyBorder="1"/>
    <xf numFmtId="3" fontId="47" fillId="0" borderId="49" xfId="61" applyNumberFormat="1" applyFont="1" applyBorder="1"/>
    <xf numFmtId="0" fontId="47" fillId="0" borderId="64" xfId="61" applyFont="1" applyBorder="1"/>
    <xf numFmtId="3" fontId="47" fillId="0" borderId="26" xfId="61" applyNumberFormat="1" applyFont="1" applyBorder="1"/>
    <xf numFmtId="3" fontId="47" fillId="0" borderId="73" xfId="61" applyNumberFormat="1" applyFont="1" applyBorder="1"/>
    <xf numFmtId="0" fontId="9" fillId="0" borderId="46" xfId="61" applyFont="1" applyBorder="1" applyAlignment="1">
      <alignment horizontal="left" wrapText="1"/>
    </xf>
    <xf numFmtId="0" fontId="47" fillId="0" borderId="15" xfId="61" applyFont="1" applyBorder="1"/>
    <xf numFmtId="173" fontId="47" fillId="0" borderId="13" xfId="61" applyNumberFormat="1" applyFont="1" applyBorder="1"/>
    <xf numFmtId="0" fontId="47" fillId="0" borderId="72" xfId="61" applyFont="1" applyBorder="1"/>
    <xf numFmtId="0" fontId="47" fillId="0" borderId="12" xfId="61" applyFont="1" applyBorder="1"/>
    <xf numFmtId="37" fontId="47" fillId="0" borderId="72" xfId="61" applyNumberFormat="1" applyFont="1" applyBorder="1"/>
    <xf numFmtId="171" fontId="47" fillId="0" borderId="72" xfId="61" applyNumberFormat="1" applyFont="1" applyBorder="1"/>
    <xf numFmtId="0" fontId="47" fillId="0" borderId="63" xfId="61" applyFont="1" applyBorder="1"/>
    <xf numFmtId="173" fontId="47" fillId="0" borderId="12" xfId="61" applyNumberFormat="1" applyFont="1" applyBorder="1"/>
    <xf numFmtId="0" fontId="47" fillId="0" borderId="13" xfId="61" applyFont="1" applyBorder="1"/>
    <xf numFmtId="3" fontId="47" fillId="0" borderId="72" xfId="61" applyNumberFormat="1" applyFont="1" applyBorder="1"/>
    <xf numFmtId="3" fontId="47" fillId="0" borderId="61" xfId="61" applyNumberFormat="1" applyFont="1" applyBorder="1"/>
    <xf numFmtId="3" fontId="47" fillId="0" borderId="15" xfId="61" applyNumberFormat="1" applyFont="1" applyBorder="1"/>
    <xf numFmtId="173" fontId="47" fillId="0" borderId="18" xfId="61" applyNumberFormat="1" applyFont="1" applyBorder="1"/>
    <xf numFmtId="0" fontId="9" fillId="29" borderId="25" xfId="61" applyFont="1" applyFill="1" applyBorder="1" applyAlignment="1">
      <alignment horizontal="left" wrapText="1"/>
    </xf>
    <xf numFmtId="0" fontId="12" fillId="29" borderId="25" xfId="61" applyFont="1" applyFill="1" applyBorder="1" applyAlignment="1">
      <alignment horizontal="left" wrapText="1"/>
    </xf>
    <xf numFmtId="0" fontId="9" fillId="0" borderId="25" xfId="61" applyFont="1" applyBorder="1" applyAlignment="1">
      <alignment horizontal="left" wrapText="1"/>
    </xf>
    <xf numFmtId="164" fontId="47" fillId="0" borderId="13" xfId="61" applyNumberFormat="1" applyFont="1" applyBorder="1"/>
    <xf numFmtId="0" fontId="9" fillId="0" borderId="25" xfId="61" applyFont="1" applyBorder="1" applyAlignment="1">
      <alignment horizontal="left"/>
    </xf>
    <xf numFmtId="1" fontId="47" fillId="0" borderId="72" xfId="61" applyNumberFormat="1" applyFont="1" applyBorder="1"/>
    <xf numFmtId="0" fontId="9" fillId="29" borderId="28" xfId="61" applyFont="1" applyFill="1" applyBorder="1" applyAlignment="1">
      <alignment horizontal="left" wrapText="1"/>
    </xf>
    <xf numFmtId="0" fontId="47" fillId="0" borderId="67" xfId="61" applyFont="1" applyBorder="1"/>
    <xf numFmtId="173" fontId="47" fillId="0" borderId="82" xfId="61" applyNumberFormat="1" applyFont="1" applyBorder="1"/>
    <xf numFmtId="0" fontId="47" fillId="0" borderId="68" xfId="61" applyFont="1" applyBorder="1"/>
    <xf numFmtId="0" fontId="47" fillId="0" borderId="70" xfId="61" applyFont="1" applyBorder="1"/>
    <xf numFmtId="37" fontId="47" fillId="0" borderId="68" xfId="61" applyNumberFormat="1" applyFont="1" applyBorder="1"/>
    <xf numFmtId="173" fontId="47" fillId="0" borderId="19" xfId="61" applyNumberFormat="1" applyFont="1" applyBorder="1"/>
    <xf numFmtId="171" fontId="47" fillId="0" borderId="68" xfId="61" applyNumberFormat="1" applyFont="1" applyBorder="1"/>
    <xf numFmtId="0" fontId="47" fillId="0" borderId="77" xfId="61" applyFont="1" applyBorder="1"/>
    <xf numFmtId="173" fontId="47" fillId="0" borderId="70" xfId="61" applyNumberFormat="1" applyFont="1" applyBorder="1"/>
    <xf numFmtId="0" fontId="47" fillId="0" borderId="19" xfId="61" applyFont="1" applyBorder="1"/>
    <xf numFmtId="3" fontId="47" fillId="0" borderId="68" xfId="61" applyNumberFormat="1" applyFont="1" applyBorder="1"/>
    <xf numFmtId="3" fontId="47" fillId="0" borderId="71" xfId="61" applyNumberFormat="1" applyFont="1" applyBorder="1"/>
    <xf numFmtId="3" fontId="47" fillId="0" borderId="67" xfId="61" applyNumberFormat="1" applyFont="1" applyBorder="1"/>
    <xf numFmtId="173" fontId="47" fillId="0" borderId="91" xfId="61" applyNumberFormat="1" applyFont="1" applyBorder="1"/>
    <xf numFmtId="173" fontId="48" fillId="0" borderId="59" xfId="61" applyNumberFormat="1" applyFont="1" applyBorder="1"/>
    <xf numFmtId="173" fontId="48" fillId="0" borderId="34" xfId="61" applyNumberFormat="1" applyFont="1" applyBorder="1"/>
    <xf numFmtId="0" fontId="12" fillId="0" borderId="84" xfId="43" applyFont="1" applyBorder="1"/>
    <xf numFmtId="3" fontId="12" fillId="27" borderId="79" xfId="40" applyNumberFormat="1" applyFont="1" applyFill="1" applyBorder="1"/>
    <xf numFmtId="3" fontId="12" fillId="27" borderId="37" xfId="40" applyNumberFormat="1" applyFont="1" applyFill="1" applyBorder="1"/>
    <xf numFmtId="171" fontId="10" fillId="0" borderId="37" xfId="33" applyNumberFormat="1" applyFont="1" applyBorder="1"/>
    <xf numFmtId="173" fontId="9" fillId="0" borderId="56" xfId="33" applyNumberFormat="1" applyFont="1" applyBorder="1"/>
    <xf numFmtId="0" fontId="45" fillId="43" borderId="33" xfId="41" applyFont="1" applyFill="1" applyBorder="1" applyAlignment="1">
      <alignment horizontal="center" vertical="center" wrapText="1"/>
    </xf>
    <xf numFmtId="0" fontId="49" fillId="0" borderId="0" xfId="0" applyFont="1"/>
    <xf numFmtId="49" fontId="9" fillId="0" borderId="24" xfId="44" applyNumberFormat="1" applyFont="1" applyBorder="1" applyAlignment="1">
      <alignment horizontal="left" wrapText="1"/>
    </xf>
    <xf numFmtId="171" fontId="49" fillId="44" borderId="24" xfId="33" applyNumberFormat="1" applyFont="1" applyFill="1" applyBorder="1"/>
    <xf numFmtId="171" fontId="49" fillId="42" borderId="93" xfId="33" applyNumberFormat="1" applyFont="1" applyFill="1" applyBorder="1"/>
    <xf numFmtId="171" fontId="49" fillId="58" borderId="24" xfId="33" applyNumberFormat="1" applyFont="1" applyFill="1" applyBorder="1"/>
    <xf numFmtId="49" fontId="9" fillId="0" borderId="46" xfId="44" applyNumberFormat="1" applyFont="1" applyBorder="1" applyAlignment="1">
      <alignment horizontal="left" wrapText="1"/>
    </xf>
    <xf numFmtId="171" fontId="49" fillId="44" borderId="46" xfId="33" applyNumberFormat="1" applyFont="1" applyFill="1" applyBorder="1"/>
    <xf numFmtId="171" fontId="49" fillId="42" borderId="94" xfId="33" applyNumberFormat="1" applyFont="1" applyFill="1" applyBorder="1"/>
    <xf numFmtId="171" fontId="49" fillId="58" borderId="46" xfId="33" applyNumberFormat="1" applyFont="1" applyFill="1" applyBorder="1"/>
    <xf numFmtId="49" fontId="9" fillId="29" borderId="25" xfId="44" applyNumberFormat="1" applyFont="1" applyFill="1" applyBorder="1" applyAlignment="1">
      <alignment horizontal="left" wrapText="1"/>
    </xf>
    <xf numFmtId="49" fontId="12" fillId="29" borderId="25" xfId="44" applyNumberFormat="1" applyFont="1" applyFill="1" applyBorder="1" applyAlignment="1">
      <alignment horizontal="left" wrapText="1"/>
    </xf>
    <xf numFmtId="171" fontId="49" fillId="44" borderId="25" xfId="33" applyNumberFormat="1" applyFont="1" applyFill="1" applyBorder="1"/>
    <xf numFmtId="171" fontId="49" fillId="42" borderId="95" xfId="33" applyNumberFormat="1" applyFont="1" applyFill="1" applyBorder="1"/>
    <xf numFmtId="171" fontId="49" fillId="58" borderId="25" xfId="33" applyNumberFormat="1" applyFont="1" applyFill="1" applyBorder="1"/>
    <xf numFmtId="49" fontId="9" fillId="0" borderId="25" xfId="44" applyNumberFormat="1" applyFont="1" applyBorder="1" applyAlignment="1">
      <alignment horizontal="left" wrapText="1"/>
    </xf>
    <xf numFmtId="49" fontId="9" fillId="0" borderId="25" xfId="44" applyNumberFormat="1" applyFont="1" applyFill="1" applyBorder="1" applyAlignment="1">
      <alignment horizontal="left" wrapText="1"/>
    </xf>
    <xf numFmtId="49" fontId="9" fillId="0" borderId="25" xfId="43" applyNumberFormat="1" applyFont="1" applyBorder="1" applyAlignment="1">
      <alignment horizontal="left"/>
    </xf>
    <xf numFmtId="49" fontId="9" fillId="29" borderId="28" xfId="44" applyNumberFormat="1" applyFont="1" applyFill="1" applyBorder="1" applyAlignment="1">
      <alignment horizontal="left" wrapText="1"/>
    </xf>
    <xf numFmtId="171" fontId="49" fillId="44" borderId="37" xfId="33" applyNumberFormat="1" applyFont="1" applyFill="1" applyBorder="1"/>
    <xf numFmtId="171" fontId="49" fillId="42" borderId="36" xfId="33" applyNumberFormat="1" applyFont="1" applyFill="1" applyBorder="1"/>
    <xf numFmtId="171" fontId="49" fillId="58" borderId="37" xfId="33" applyNumberFormat="1" applyFont="1" applyFill="1" applyBorder="1"/>
    <xf numFmtId="0" fontId="12" fillId="24" borderId="21" xfId="61" applyFont="1" applyFill="1" applyBorder="1" applyAlignment="1">
      <alignment horizontal="center"/>
    </xf>
    <xf numFmtId="171" fontId="48" fillId="44" borderId="16" xfId="64" applyNumberFormat="1" applyFont="1" applyFill="1" applyBorder="1"/>
    <xf numFmtId="171" fontId="47" fillId="0" borderId="58" xfId="64" applyNumberFormat="1" applyFont="1" applyBorder="1"/>
    <xf numFmtId="171" fontId="47" fillId="0" borderId="34" xfId="64" applyNumberFormat="1" applyFont="1" applyBorder="1"/>
    <xf numFmtId="171" fontId="47" fillId="0" borderId="33" xfId="64" applyNumberFormat="1" applyFont="1" applyBorder="1"/>
    <xf numFmtId="173" fontId="48" fillId="0" borderId="13" xfId="61" applyNumberFormat="1" applyFont="1" applyBorder="1"/>
    <xf numFmtId="171" fontId="48" fillId="42" borderId="16" xfId="64" applyNumberFormat="1" applyFont="1" applyFill="1" applyBorder="1"/>
    <xf numFmtId="171" fontId="47" fillId="0" borderId="50" xfId="64" applyNumberFormat="1" applyFont="1" applyBorder="1"/>
    <xf numFmtId="171" fontId="47" fillId="0" borderId="21" xfId="64" applyNumberFormat="1" applyFont="1" applyBorder="1"/>
    <xf numFmtId="171" fontId="48" fillId="58" borderId="34" xfId="64" applyNumberFormat="1" applyFont="1" applyFill="1" applyBorder="1"/>
    <xf numFmtId="173" fontId="48" fillId="0" borderId="50" xfId="61" applyNumberFormat="1" applyFont="1" applyBorder="1"/>
    <xf numFmtId="171" fontId="47" fillId="0" borderId="85" xfId="64" applyNumberFormat="1" applyFont="1" applyBorder="1"/>
    <xf numFmtId="171" fontId="47" fillId="0" borderId="96" xfId="64" applyNumberFormat="1" applyFont="1" applyBorder="1"/>
    <xf numFmtId="171" fontId="47" fillId="0" borderId="81" xfId="64" applyNumberFormat="1" applyFont="1" applyBorder="1"/>
    <xf numFmtId="0" fontId="48" fillId="0" borderId="0" xfId="61" applyFont="1"/>
    <xf numFmtId="0" fontId="13" fillId="24" borderId="20" xfId="61" applyFont="1" applyFill="1" applyBorder="1" applyAlignment="1">
      <alignment horizontal="center" vertical="center"/>
    </xf>
    <xf numFmtId="0" fontId="13" fillId="24" borderId="16" xfId="44" applyFont="1" applyFill="1" applyBorder="1" applyAlignment="1">
      <alignment horizontal="center" vertical="center"/>
    </xf>
    <xf numFmtId="0" fontId="13" fillId="44" borderId="20" xfId="61" applyFont="1" applyFill="1" applyBorder="1" applyAlignment="1">
      <alignment horizontal="center" vertical="center" wrapText="1"/>
    </xf>
    <xf numFmtId="0" fontId="13" fillId="51" borderId="58" xfId="41" applyFont="1" applyFill="1" applyBorder="1" applyAlignment="1">
      <alignment horizontal="center" vertical="center" wrapText="1"/>
    </xf>
    <xf numFmtId="172" fontId="19" fillId="30" borderId="59" xfId="38" applyNumberFormat="1" applyFont="1" applyFill="1" applyBorder="1" applyAlignment="1">
      <alignment horizontal="center" vertical="center" wrapText="1"/>
    </xf>
    <xf numFmtId="0" fontId="13" fillId="50" borderId="33" xfId="41" applyFont="1" applyFill="1" applyBorder="1" applyAlignment="1">
      <alignment horizontal="center" vertical="center" wrapText="1"/>
    </xf>
    <xf numFmtId="172" fontId="13" fillId="31" borderId="34" xfId="38" applyNumberFormat="1" applyFont="1" applyFill="1" applyBorder="1" applyAlignment="1">
      <alignment horizontal="center" vertical="center" wrapText="1"/>
    </xf>
    <xf numFmtId="0" fontId="13" fillId="50" borderId="34" xfId="41" applyFont="1" applyFill="1" applyBorder="1" applyAlignment="1">
      <alignment horizontal="center" vertical="center" wrapText="1"/>
    </xf>
    <xf numFmtId="172" fontId="13" fillId="31" borderId="50" xfId="38" applyNumberFormat="1" applyFont="1" applyFill="1" applyBorder="1" applyAlignment="1">
      <alignment horizontal="center" vertical="center" wrapText="1"/>
    </xf>
    <xf numFmtId="0" fontId="13" fillId="50" borderId="58" xfId="41" applyFont="1" applyFill="1" applyBorder="1" applyAlignment="1">
      <alignment horizontal="center" vertical="center" wrapText="1"/>
    </xf>
    <xf numFmtId="172" fontId="13" fillId="31" borderId="59" xfId="38" applyNumberFormat="1" applyFont="1" applyFill="1" applyBorder="1" applyAlignment="1">
      <alignment horizontal="center" vertical="center" wrapText="1"/>
    </xf>
    <xf numFmtId="0" fontId="13" fillId="43" borderId="33" xfId="41" applyFont="1" applyFill="1" applyBorder="1" applyAlignment="1">
      <alignment horizontal="center" vertical="center" wrapText="1"/>
    </xf>
    <xf numFmtId="172" fontId="13" fillId="43" borderId="50" xfId="38" applyNumberFormat="1" applyFont="1" applyFill="1" applyBorder="1" applyAlignment="1">
      <alignment horizontal="center" vertical="center" wrapText="1"/>
    </xf>
    <xf numFmtId="0" fontId="50" fillId="36" borderId="50" xfId="40" applyFont="1" applyFill="1" applyBorder="1" applyAlignment="1" applyProtection="1">
      <alignment horizontal="center" vertical="center" wrapText="1"/>
      <protection locked="0"/>
    </xf>
    <xf numFmtId="0" fontId="13" fillId="52" borderId="20" xfId="41" applyFont="1" applyFill="1" applyBorder="1" applyAlignment="1">
      <alignment horizontal="center" vertical="center"/>
    </xf>
    <xf numFmtId="0" fontId="13" fillId="38" borderId="33" xfId="46" applyFont="1" applyFill="1" applyBorder="1" applyAlignment="1">
      <alignment horizontal="center" vertical="center" wrapText="1"/>
    </xf>
    <xf numFmtId="0" fontId="13" fillId="38" borderId="50" xfId="45" applyFont="1" applyFill="1" applyBorder="1" applyAlignment="1">
      <alignment horizontal="center" vertical="center" wrapText="1"/>
    </xf>
    <xf numFmtId="0" fontId="13" fillId="38" borderId="58" xfId="46" applyFont="1" applyFill="1" applyBorder="1" applyAlignment="1">
      <alignment horizontal="center" vertical="center" wrapText="1"/>
    </xf>
    <xf numFmtId="0" fontId="13" fillId="38" borderId="59" xfId="45" applyFont="1" applyFill="1" applyBorder="1" applyAlignment="1">
      <alignment horizontal="center" vertical="center" wrapText="1"/>
    </xf>
    <xf numFmtId="1" fontId="50" fillId="49" borderId="33" xfId="43" applyNumberFormat="1" applyFont="1" applyFill="1" applyBorder="1" applyAlignment="1" applyProtection="1">
      <alignment horizontal="center" vertical="center" wrapText="1"/>
      <protection locked="0"/>
    </xf>
    <xf numFmtId="1" fontId="50" fillId="35" borderId="50" xfId="43" applyNumberFormat="1" applyFont="1" applyFill="1" applyBorder="1" applyAlignment="1" applyProtection="1">
      <alignment horizontal="center" vertical="center" wrapText="1"/>
      <protection locked="0"/>
    </xf>
    <xf numFmtId="1" fontId="50" fillId="49" borderId="21" xfId="40" applyNumberFormat="1" applyFont="1" applyFill="1" applyBorder="1" applyAlignment="1" applyProtection="1">
      <alignment horizontal="center" vertical="center" wrapText="1"/>
      <protection locked="0"/>
    </xf>
    <xf numFmtId="0" fontId="19" fillId="42" borderId="20" xfId="61" quotePrefix="1" applyFont="1" applyFill="1" applyBorder="1" applyAlignment="1">
      <alignment horizontal="center" vertical="center" wrapText="1"/>
    </xf>
    <xf numFmtId="0" fontId="13" fillId="47" borderId="33" xfId="41" applyFont="1" applyFill="1" applyBorder="1" applyAlignment="1">
      <alignment horizontal="center" vertical="center" wrapText="1"/>
    </xf>
    <xf numFmtId="172" fontId="13" fillId="32" borderId="50" xfId="38" applyNumberFormat="1" applyFont="1" applyFill="1" applyBorder="1" applyAlignment="1">
      <alignment horizontal="center" vertical="center" wrapText="1"/>
    </xf>
    <xf numFmtId="0" fontId="13" fillId="39" borderId="58" xfId="41" applyFont="1" applyFill="1" applyBorder="1" applyAlignment="1">
      <alignment horizontal="center" vertical="center" wrapText="1"/>
    </xf>
    <xf numFmtId="172" fontId="13" fillId="39" borderId="59" xfId="38" applyNumberFormat="1" applyFont="1" applyFill="1" applyBorder="1" applyAlignment="1">
      <alignment horizontal="center" vertical="center" wrapText="1"/>
    </xf>
    <xf numFmtId="0" fontId="13" fillId="40" borderId="33" xfId="46" applyFont="1" applyFill="1" applyBorder="1" applyAlignment="1">
      <alignment horizontal="center" vertical="center" wrapText="1"/>
    </xf>
    <xf numFmtId="0" fontId="13" fillId="40" borderId="50" xfId="46" applyFont="1" applyFill="1" applyBorder="1" applyAlignment="1">
      <alignment horizontal="center" vertical="center" wrapText="1"/>
    </xf>
    <xf numFmtId="0" fontId="13" fillId="40" borderId="58" xfId="46" applyFont="1" applyFill="1" applyBorder="1" applyAlignment="1">
      <alignment horizontal="center" vertical="center" wrapText="1"/>
    </xf>
    <xf numFmtId="0" fontId="13" fillId="40" borderId="59" xfId="46" applyFont="1" applyFill="1" applyBorder="1" applyAlignment="1">
      <alignment horizontal="center" vertical="center" wrapText="1"/>
    </xf>
    <xf numFmtId="0" fontId="13" fillId="40" borderId="34" xfId="46" applyFont="1" applyFill="1" applyBorder="1" applyAlignment="1">
      <alignment horizontal="center" vertical="center" wrapText="1"/>
    </xf>
    <xf numFmtId="1" fontId="50" fillId="57" borderId="50" xfId="62" applyNumberFormat="1" applyFont="1" applyFill="1" applyBorder="1" applyAlignment="1" applyProtection="1">
      <alignment horizontal="center" vertical="center" wrapText="1"/>
      <protection locked="0"/>
    </xf>
    <xf numFmtId="0" fontId="13" fillId="30" borderId="58" xfId="41" applyFont="1" applyFill="1" applyBorder="1" applyAlignment="1">
      <alignment horizontal="center" vertical="center" wrapText="1"/>
    </xf>
    <xf numFmtId="0" fontId="13" fillId="33" borderId="33" xfId="41" applyFont="1" applyFill="1" applyBorder="1" applyAlignment="1">
      <alignment horizontal="center" vertical="center" wrapText="1"/>
    </xf>
    <xf numFmtId="0" fontId="13" fillId="33" borderId="50" xfId="41" applyFont="1" applyFill="1" applyBorder="1" applyAlignment="1">
      <alignment horizontal="center" vertical="center" wrapText="1"/>
    </xf>
    <xf numFmtId="0" fontId="13" fillId="58" borderId="20" xfId="63" applyFont="1" applyFill="1" applyBorder="1" applyAlignment="1">
      <alignment horizontal="center" vertical="center" wrapText="1"/>
    </xf>
    <xf numFmtId="0" fontId="13" fillId="41" borderId="33" xfId="41" applyFont="1" applyFill="1" applyBorder="1" applyAlignment="1">
      <alignment horizontal="center" vertical="center" wrapText="1"/>
    </xf>
    <xf numFmtId="0" fontId="13" fillId="41" borderId="50" xfId="41" applyFont="1" applyFill="1" applyBorder="1" applyAlignment="1">
      <alignment horizontal="center" vertical="center" wrapText="1"/>
    </xf>
    <xf numFmtId="0" fontId="13" fillId="47" borderId="58" xfId="41" applyFont="1" applyFill="1" applyBorder="1" applyAlignment="1">
      <alignment horizontal="center" vertical="center" wrapText="1"/>
    </xf>
    <xf numFmtId="0" fontId="13" fillId="47" borderId="50" xfId="43" applyFont="1" applyFill="1" applyBorder="1" applyAlignment="1">
      <alignment horizontal="center" vertical="center" wrapText="1"/>
    </xf>
    <xf numFmtId="1" fontId="50" fillId="49" borderId="73" xfId="40" applyNumberFormat="1" applyFont="1" applyFill="1" applyBorder="1" applyAlignment="1" applyProtection="1">
      <alignment horizontal="center" vertical="center" wrapText="1"/>
      <protection locked="0"/>
    </xf>
    <xf numFmtId="1" fontId="50" fillId="35" borderId="10" xfId="40" applyNumberFormat="1" applyFont="1" applyFill="1" applyBorder="1" applyAlignment="1" applyProtection="1">
      <alignment horizontal="center" vertical="center" wrapText="1"/>
      <protection locked="0"/>
    </xf>
    <xf numFmtId="0" fontId="50" fillId="35" borderId="11" xfId="40" applyFont="1" applyFill="1" applyBorder="1" applyAlignment="1" applyProtection="1">
      <alignment horizontal="center" vertical="center" wrapText="1"/>
      <protection locked="0"/>
    </xf>
    <xf numFmtId="0" fontId="12" fillId="0" borderId="0" xfId="0" applyFont="1"/>
    <xf numFmtId="0" fontId="47" fillId="0" borderId="0" xfId="61" applyFont="1"/>
    <xf numFmtId="0" fontId="48" fillId="0" borderId="0" xfId="61" applyFont="1" applyAlignment="1"/>
    <xf numFmtId="14" fontId="48" fillId="0" borderId="0" xfId="61" applyNumberFormat="1" applyFont="1" applyAlignment="1">
      <alignment horizontal="left"/>
    </xf>
    <xf numFmtId="0" fontId="51" fillId="0" borderId="0" xfId="61" applyFont="1"/>
    <xf numFmtId="3" fontId="47" fillId="0" borderId="76" xfId="61" applyNumberFormat="1" applyFont="1" applyBorder="1"/>
    <xf numFmtId="0" fontId="47" fillId="0" borderId="14" xfId="61" applyFont="1" applyBorder="1"/>
    <xf numFmtId="0" fontId="47" fillId="0" borderId="29" xfId="61" applyFont="1" applyBorder="1"/>
    <xf numFmtId="176" fontId="47" fillId="0" borderId="0" xfId="61" applyNumberFormat="1" applyFont="1"/>
    <xf numFmtId="14" fontId="48" fillId="0" borderId="12" xfId="61" applyNumberFormat="1" applyFont="1" applyBorder="1"/>
    <xf numFmtId="14" fontId="48" fillId="0" borderId="0" xfId="61" applyNumberFormat="1" applyFont="1"/>
    <xf numFmtId="14" fontId="48" fillId="0" borderId="12" xfId="0" applyNumberFormat="1" applyFont="1" applyBorder="1"/>
    <xf numFmtId="14" fontId="12" fillId="0" borderId="0" xfId="61" applyNumberFormat="1" applyFont="1" applyBorder="1"/>
    <xf numFmtId="0" fontId="48" fillId="48" borderId="0" xfId="61" applyFont="1" applyFill="1" applyBorder="1" applyAlignment="1">
      <alignment vertical="center"/>
    </xf>
    <xf numFmtId="0" fontId="48" fillId="48" borderId="20" xfId="61" applyFont="1" applyFill="1" applyBorder="1" applyAlignment="1">
      <alignment vertical="center"/>
    </xf>
    <xf numFmtId="0" fontId="9" fillId="48" borderId="0" xfId="40" applyFont="1" applyFill="1" applyBorder="1" applyAlignment="1">
      <alignment horizontal="center" vertical="center"/>
    </xf>
    <xf numFmtId="2" fontId="10" fillId="0" borderId="0" xfId="40" applyNumberFormat="1" applyFont="1" applyFill="1" applyBorder="1"/>
    <xf numFmtId="2" fontId="10" fillId="53" borderId="66" xfId="40" applyNumberFormat="1" applyFont="1" applyFill="1" applyBorder="1"/>
    <xf numFmtId="2" fontId="52" fillId="0" borderId="0" xfId="61" applyNumberFormat="1" applyFont="1" applyFill="1" applyProtection="1">
      <protection hidden="1"/>
    </xf>
    <xf numFmtId="2" fontId="10" fillId="54" borderId="12" xfId="40" applyNumberFormat="1" applyFont="1" applyFill="1" applyBorder="1"/>
    <xf numFmtId="2" fontId="53" fillId="0" borderId="0" xfId="61" applyNumberFormat="1" applyFont="1" applyProtection="1">
      <protection hidden="1"/>
    </xf>
    <xf numFmtId="2" fontId="10" fillId="39" borderId="12" xfId="40" applyNumberFormat="1" applyFont="1" applyFill="1" applyBorder="1"/>
    <xf numFmtId="2" fontId="10" fillId="55" borderId="12" xfId="40" applyNumberFormat="1" applyFont="1" applyFill="1" applyBorder="1"/>
    <xf numFmtId="2" fontId="10" fillId="45" borderId="12" xfId="40" applyNumberFormat="1" applyFont="1" applyFill="1" applyBorder="1"/>
    <xf numFmtId="2" fontId="10" fillId="56" borderId="12" xfId="40" applyNumberFormat="1" applyFont="1" applyFill="1" applyBorder="1"/>
    <xf numFmtId="167" fontId="52" fillId="0" borderId="0" xfId="61" applyNumberFormat="1" applyFont="1" applyFill="1" applyProtection="1">
      <protection hidden="1"/>
    </xf>
    <xf numFmtId="0" fontId="47" fillId="0" borderId="0" xfId="61" applyFont="1" applyBorder="1"/>
    <xf numFmtId="0" fontId="47" fillId="0" borderId="28" xfId="61" applyFont="1" applyBorder="1"/>
    <xf numFmtId="0" fontId="53" fillId="0" borderId="0" xfId="61" applyFont="1" applyBorder="1"/>
    <xf numFmtId="0" fontId="53" fillId="0" borderId="0" xfId="61" applyFont="1"/>
    <xf numFmtId="2" fontId="54" fillId="0" borderId="0" xfId="40" applyNumberFormat="1" applyFont="1" applyBorder="1" applyAlignment="1">
      <alignment vertical="center"/>
    </xf>
    <xf numFmtId="173" fontId="47" fillId="0" borderId="0" xfId="61" applyNumberFormat="1" applyFont="1"/>
    <xf numFmtId="167" fontId="47" fillId="0" borderId="0" xfId="61" applyNumberFormat="1" applyFont="1"/>
    <xf numFmtId="0" fontId="47" fillId="0" borderId="0" xfId="41" applyFont="1"/>
    <xf numFmtId="171" fontId="10" fillId="42" borderId="24" xfId="33" applyNumberFormat="1" applyFont="1" applyFill="1" applyBorder="1"/>
    <xf numFmtId="171" fontId="49" fillId="40" borderId="24" xfId="33" applyNumberFormat="1" applyFont="1" applyFill="1" applyBorder="1"/>
    <xf numFmtId="3" fontId="10" fillId="42" borderId="73" xfId="33" applyNumberFormat="1" applyFont="1" applyFill="1" applyBorder="1"/>
    <xf numFmtId="171" fontId="10" fillId="42" borderId="25" xfId="33" applyNumberFormat="1" applyFont="1" applyFill="1" applyBorder="1"/>
    <xf numFmtId="171" fontId="49" fillId="40" borderId="25" xfId="33" applyNumberFormat="1" applyFont="1" applyFill="1" applyBorder="1"/>
    <xf numFmtId="3" fontId="10" fillId="42" borderId="72" xfId="33" applyNumberFormat="1" applyFont="1" applyFill="1" applyBorder="1"/>
    <xf numFmtId="171" fontId="10" fillId="42" borderId="28" xfId="33" applyNumberFormat="1" applyFont="1" applyFill="1" applyBorder="1"/>
    <xf numFmtId="3" fontId="10" fillId="42" borderId="76" xfId="33" applyNumberFormat="1" applyFont="1" applyFill="1" applyBorder="1"/>
    <xf numFmtId="0" fontId="12" fillId="24" borderId="21" xfId="41" applyFont="1" applyFill="1" applyBorder="1" applyAlignment="1">
      <alignment horizontal="center"/>
    </xf>
    <xf numFmtId="171" fontId="48" fillId="0" borderId="16" xfId="36" applyNumberFormat="1" applyFont="1" applyBorder="1"/>
    <xf numFmtId="171" fontId="47" fillId="0" borderId="58" xfId="36" applyNumberFormat="1" applyFont="1" applyBorder="1"/>
    <xf numFmtId="173" fontId="48" fillId="0" borderId="34" xfId="41" applyNumberFormat="1" applyFont="1" applyBorder="1"/>
    <xf numFmtId="171" fontId="47" fillId="0" borderId="34" xfId="36" applyNumberFormat="1" applyFont="1" applyBorder="1"/>
    <xf numFmtId="171" fontId="47" fillId="0" borderId="33" xfId="36" applyNumberFormat="1" applyFont="1" applyBorder="1"/>
    <xf numFmtId="171" fontId="47" fillId="0" borderId="50" xfId="36" applyNumberFormat="1" applyFont="1" applyBorder="1"/>
    <xf numFmtId="171" fontId="47" fillId="0" borderId="21" xfId="36" applyNumberFormat="1" applyFont="1" applyBorder="1"/>
    <xf numFmtId="171" fontId="48" fillId="0" borderId="34" xfId="36" applyNumberFormat="1" applyFont="1" applyBorder="1"/>
    <xf numFmtId="0" fontId="48" fillId="0" borderId="0" xfId="41" applyFont="1"/>
    <xf numFmtId="176" fontId="47" fillId="0" borderId="0" xfId="41" applyNumberFormat="1" applyFont="1"/>
    <xf numFmtId="14" fontId="48" fillId="0" borderId="12" xfId="41" applyNumberFormat="1" applyFont="1" applyBorder="1"/>
    <xf numFmtId="14" fontId="48" fillId="0" borderId="0" xfId="41" applyNumberFormat="1" applyFont="1"/>
    <xf numFmtId="0" fontId="12" fillId="0" borderId="0" xfId="41" applyFont="1"/>
    <xf numFmtId="0" fontId="48" fillId="0" borderId="0" xfId="0" applyFont="1" applyBorder="1"/>
    <xf numFmtId="0" fontId="48" fillId="48" borderId="91" xfId="41" applyFont="1" applyFill="1" applyBorder="1" applyAlignment="1">
      <alignment vertical="center"/>
    </xf>
    <xf numFmtId="0" fontId="48" fillId="48" borderId="12" xfId="41" applyFont="1" applyFill="1" applyBorder="1" applyAlignment="1">
      <alignment vertical="center"/>
    </xf>
    <xf numFmtId="0" fontId="9" fillId="48" borderId="91" xfId="40" applyFont="1" applyFill="1" applyBorder="1" applyAlignment="1">
      <alignment horizontal="center" vertical="center"/>
    </xf>
    <xf numFmtId="0" fontId="47" fillId="0" borderId="91" xfId="41" applyFont="1" applyBorder="1" applyAlignment="1">
      <alignment horizontal="center"/>
    </xf>
    <xf numFmtId="2" fontId="10" fillId="53" borderId="12" xfId="0" applyNumberFormat="1" applyFont="1" applyFill="1" applyBorder="1"/>
    <xf numFmtId="2" fontId="10" fillId="54" borderId="12" xfId="0" applyNumberFormat="1" applyFont="1" applyFill="1" applyBorder="1"/>
    <xf numFmtId="2" fontId="10" fillId="39" borderId="12" xfId="0" applyNumberFormat="1" applyFont="1" applyFill="1" applyBorder="1"/>
    <xf numFmtId="0" fontId="48" fillId="0" borderId="0" xfId="41" applyFont="1" applyAlignment="1"/>
    <xf numFmtId="2" fontId="10" fillId="55" borderId="12" xfId="0" applyNumberFormat="1" applyFont="1" applyFill="1" applyBorder="1"/>
    <xf numFmtId="0" fontId="47" fillId="0" borderId="91" xfId="41" applyFont="1" applyBorder="1"/>
    <xf numFmtId="2" fontId="10" fillId="45" borderId="12" xfId="0" applyNumberFormat="1" applyFont="1" applyFill="1" applyBorder="1"/>
    <xf numFmtId="173" fontId="47" fillId="0" borderId="0" xfId="41" applyNumberFormat="1" applyFont="1"/>
    <xf numFmtId="2" fontId="10" fillId="56" borderId="12" xfId="0" applyNumberFormat="1" applyFont="1" applyFill="1" applyBorder="1"/>
    <xf numFmtId="0" fontId="47" fillId="0" borderId="0" xfId="41" applyFont="1" applyBorder="1"/>
    <xf numFmtId="167" fontId="55" fillId="0" borderId="0" xfId="40" applyNumberFormat="1" applyFont="1" applyBorder="1" applyAlignment="1">
      <alignment vertical="center"/>
    </xf>
    <xf numFmtId="167" fontId="55" fillId="0" borderId="77" xfId="40" applyNumberFormat="1" applyFont="1" applyBorder="1" applyAlignment="1">
      <alignment vertical="center"/>
    </xf>
    <xf numFmtId="167" fontId="47" fillId="0" borderId="0" xfId="41" applyNumberFormat="1" applyFont="1"/>
    <xf numFmtId="14" fontId="48" fillId="0" borderId="0" xfId="41" applyNumberFormat="1" applyFont="1" applyAlignment="1">
      <alignment horizontal="left"/>
    </xf>
    <xf numFmtId="0" fontId="13" fillId="24" borderId="20" xfId="41" applyFont="1" applyFill="1" applyBorder="1" applyAlignment="1">
      <alignment horizontal="center" vertical="center"/>
    </xf>
    <xf numFmtId="0" fontId="13" fillId="42" borderId="20" xfId="41" applyFont="1" applyFill="1" applyBorder="1" applyAlignment="1">
      <alignment horizontal="center" vertical="center" wrapText="1"/>
    </xf>
    <xf numFmtId="0" fontId="19" fillId="40" borderId="20" xfId="41" quotePrefix="1" applyFont="1" applyFill="1" applyBorder="1" applyAlignment="1">
      <alignment horizontal="center" vertical="center" wrapText="1"/>
    </xf>
    <xf numFmtId="2" fontId="10" fillId="0" borderId="91" xfId="0" applyNumberFormat="1" applyFont="1" applyFill="1" applyBorder="1"/>
    <xf numFmtId="2" fontId="10" fillId="0" borderId="0" xfId="0" applyNumberFormat="1" applyFont="1" applyFill="1" applyBorder="1"/>
    <xf numFmtId="0" fontId="56" fillId="0" borderId="0" xfId="43" applyFont="1"/>
    <xf numFmtId="0" fontId="49" fillId="0" borderId="0" xfId="43" applyFont="1"/>
    <xf numFmtId="169" fontId="12" fillId="42" borderId="84" xfId="35" applyNumberFormat="1" applyFont="1" applyFill="1" applyBorder="1"/>
    <xf numFmtId="169" fontId="49" fillId="0" borderId="99" xfId="35" applyNumberFormat="1" applyFont="1" applyBorder="1"/>
    <xf numFmtId="170" fontId="12" fillId="0" borderId="82" xfId="35" applyNumberFormat="1" applyFont="1" applyBorder="1" applyAlignment="1">
      <alignment horizontal="center" vertical="center"/>
    </xf>
    <xf numFmtId="169" fontId="49" fillId="0" borderId="78" xfId="35" applyNumberFormat="1" applyFont="1" applyBorder="1"/>
    <xf numFmtId="169" fontId="49" fillId="0" borderId="66" xfId="35" applyNumberFormat="1" applyFont="1" applyBorder="1"/>
    <xf numFmtId="169" fontId="49" fillId="44" borderId="46" xfId="35" applyNumberFormat="1" applyFont="1" applyFill="1" applyBorder="1"/>
    <xf numFmtId="170" fontId="12" fillId="0" borderId="91" xfId="35" applyNumberFormat="1" applyFont="1" applyBorder="1"/>
    <xf numFmtId="169" fontId="49" fillId="0" borderId="79" xfId="35" applyNumberFormat="1" applyFont="1" applyBorder="1"/>
    <xf numFmtId="170" fontId="12" fillId="0" borderId="82" xfId="35" applyNumberFormat="1" applyFont="1" applyBorder="1"/>
    <xf numFmtId="0" fontId="9" fillId="0" borderId="24" xfId="44" applyFont="1" applyBorder="1" applyAlignment="1">
      <alignment horizontal="left" wrapText="1"/>
    </xf>
    <xf numFmtId="169" fontId="12" fillId="42" borderId="61" xfId="35" applyNumberFormat="1" applyFont="1" applyFill="1" applyBorder="1"/>
    <xf numFmtId="169" fontId="49" fillId="0" borderId="72" xfId="35" applyNumberFormat="1" applyFont="1" applyBorder="1"/>
    <xf numFmtId="170" fontId="12" fillId="0" borderId="13" xfId="35" applyNumberFormat="1" applyFont="1" applyBorder="1" applyAlignment="1">
      <alignment horizontal="center" vertical="center"/>
    </xf>
    <xf numFmtId="169" fontId="49" fillId="0" borderId="15" xfId="35" applyNumberFormat="1" applyFont="1" applyBorder="1"/>
    <xf numFmtId="169" fontId="49" fillId="0" borderId="12" xfId="35" applyNumberFormat="1" applyFont="1" applyBorder="1"/>
    <xf numFmtId="169" fontId="49" fillId="44" borderId="25" xfId="35" applyNumberFormat="1" applyFont="1" applyFill="1" applyBorder="1"/>
    <xf numFmtId="170" fontId="12" fillId="0" borderId="13" xfId="35" applyNumberFormat="1" applyFont="1" applyBorder="1"/>
    <xf numFmtId="169" fontId="49" fillId="0" borderId="18" xfId="35" applyNumberFormat="1" applyFont="1" applyBorder="1"/>
    <xf numFmtId="0" fontId="9" fillId="0" borderId="46" xfId="44" applyFont="1" applyBorder="1" applyAlignment="1">
      <alignment horizontal="left" wrapText="1"/>
    </xf>
    <xf numFmtId="0" fontId="9" fillId="29" borderId="25" xfId="44" applyFont="1" applyFill="1" applyBorder="1" applyAlignment="1">
      <alignment horizontal="left" wrapText="1"/>
    </xf>
    <xf numFmtId="0" fontId="12" fillId="29" borderId="25" xfId="44" applyFont="1" applyFill="1" applyBorder="1" applyAlignment="1">
      <alignment horizontal="left" wrapText="1"/>
    </xf>
    <xf numFmtId="0" fontId="9" fillId="0" borderId="25" xfId="44" applyFont="1" applyBorder="1" applyAlignment="1">
      <alignment horizontal="left" wrapText="1"/>
    </xf>
    <xf numFmtId="170" fontId="12" fillId="39" borderId="13" xfId="35" applyNumberFormat="1" applyFont="1" applyFill="1" applyBorder="1" applyAlignment="1">
      <alignment horizontal="center" vertical="center"/>
    </xf>
    <xf numFmtId="0" fontId="9" fillId="0" borderId="25" xfId="44" applyFont="1" applyFill="1" applyBorder="1" applyAlignment="1">
      <alignment horizontal="left" wrapText="1"/>
    </xf>
    <xf numFmtId="0" fontId="9" fillId="0" borderId="25" xfId="43" applyFont="1" applyBorder="1" applyAlignment="1">
      <alignment horizontal="left"/>
    </xf>
    <xf numFmtId="169" fontId="12" fillId="42" borderId="71" xfId="35" applyNumberFormat="1" applyFont="1" applyFill="1" applyBorder="1"/>
    <xf numFmtId="169" fontId="49" fillId="0" borderId="68" xfId="35" applyNumberFormat="1" applyFont="1" applyBorder="1"/>
    <xf numFmtId="170" fontId="12" fillId="0" borderId="19" xfId="35" applyNumberFormat="1" applyFont="1" applyBorder="1" applyAlignment="1">
      <alignment horizontal="center" vertical="center"/>
    </xf>
    <xf numFmtId="169" fontId="49" fillId="0" borderId="67" xfId="35" applyNumberFormat="1" applyFont="1" applyBorder="1"/>
    <xf numFmtId="169" fontId="49" fillId="0" borderId="70" xfId="35" applyNumberFormat="1" applyFont="1" applyBorder="1"/>
    <xf numFmtId="169" fontId="49" fillId="44" borderId="32" xfId="35" applyNumberFormat="1" applyFont="1" applyFill="1" applyBorder="1"/>
    <xf numFmtId="170" fontId="12" fillId="0" borderId="19" xfId="35" applyNumberFormat="1" applyFont="1" applyBorder="1"/>
    <xf numFmtId="169" fontId="49" fillId="0" borderId="69" xfId="35" applyNumberFormat="1" applyFont="1" applyBorder="1"/>
    <xf numFmtId="0" fontId="9" fillId="29" borderId="28" xfId="44" applyFont="1" applyFill="1" applyBorder="1" applyAlignment="1">
      <alignment horizontal="left" wrapText="1"/>
    </xf>
    <xf numFmtId="0" fontId="12" fillId="0" borderId="21" xfId="43" applyFont="1" applyBorder="1"/>
    <xf numFmtId="169" fontId="12" fillId="42" borderId="21" xfId="35" applyNumberFormat="1" applyFont="1" applyFill="1" applyBorder="1"/>
    <xf numFmtId="169" fontId="12" fillId="0" borderId="58" xfId="35" applyNumberFormat="1" applyFont="1" applyBorder="1"/>
    <xf numFmtId="170" fontId="12" fillId="0" borderId="59" xfId="35" applyNumberFormat="1" applyFont="1" applyBorder="1" applyAlignment="1">
      <alignment horizontal="center" vertical="center"/>
    </xf>
    <xf numFmtId="169" fontId="12" fillId="44" borderId="16" xfId="35" applyNumberFormat="1" applyFont="1" applyFill="1" applyBorder="1"/>
    <xf numFmtId="170" fontId="12" fillId="0" borderId="59" xfId="35" applyNumberFormat="1" applyFont="1" applyBorder="1"/>
    <xf numFmtId="0" fontId="12" fillId="0" borderId="0" xfId="43" applyFont="1"/>
    <xf numFmtId="14" fontId="12" fillId="0" borderId="0" xfId="43" applyNumberFormat="1" applyFont="1"/>
    <xf numFmtId="0" fontId="57" fillId="0" borderId="0" xfId="43" applyFont="1"/>
    <xf numFmtId="0" fontId="9" fillId="48" borderId="12" xfId="43" applyFont="1" applyFill="1" applyBorder="1" applyAlignment="1">
      <alignment horizontal="center" vertical="center"/>
    </xf>
    <xf numFmtId="0" fontId="9" fillId="47" borderId="12" xfId="43" applyFont="1" applyFill="1" applyBorder="1"/>
    <xf numFmtId="0" fontId="47" fillId="0" borderId="12" xfId="41" applyFont="1" applyBorder="1" applyAlignment="1">
      <alignment horizontal="center"/>
    </xf>
    <xf numFmtId="0" fontId="9" fillId="39" borderId="12" xfId="43" applyFont="1" applyFill="1" applyBorder="1"/>
    <xf numFmtId="0" fontId="9" fillId="46" borderId="12" xfId="43" applyFont="1" applyFill="1" applyBorder="1"/>
    <xf numFmtId="0" fontId="9" fillId="45" borderId="12" xfId="43" applyFont="1" applyFill="1" applyBorder="1"/>
    <xf numFmtId="0" fontId="9" fillId="0" borderId="66" xfId="43" applyFont="1" applyFill="1" applyBorder="1"/>
    <xf numFmtId="0" fontId="13" fillId="24" borderId="16" xfId="40" applyFont="1" applyFill="1" applyBorder="1" applyAlignment="1">
      <alignment horizontal="center" vertical="center"/>
    </xf>
    <xf numFmtId="0" fontId="13" fillId="42" borderId="21" xfId="41" applyFont="1" applyFill="1" applyBorder="1" applyAlignment="1">
      <alignment horizontal="center" vertical="center" wrapText="1"/>
    </xf>
    <xf numFmtId="0" fontId="19" fillId="27" borderId="16" xfId="42" quotePrefix="1" applyFont="1" applyFill="1" applyBorder="1" applyAlignment="1">
      <alignment horizontal="center" vertical="center" wrapText="1"/>
    </xf>
    <xf numFmtId="1" fontId="50" fillId="35" borderId="58" xfId="43" applyNumberFormat="1" applyFont="1" applyFill="1" applyBorder="1" applyAlignment="1" applyProtection="1">
      <alignment horizontal="center" vertical="center" wrapText="1"/>
      <protection locked="0"/>
    </xf>
    <xf numFmtId="1" fontId="50" fillId="35" borderId="59" xfId="43" applyNumberFormat="1" applyFont="1" applyFill="1" applyBorder="1" applyAlignment="1" applyProtection="1">
      <alignment horizontal="center" vertical="center" wrapText="1"/>
      <protection locked="0"/>
    </xf>
    <xf numFmtId="0" fontId="13" fillId="48" borderId="12" xfId="43" applyFont="1" applyFill="1" applyBorder="1" applyAlignment="1">
      <alignment horizontal="center" vertical="center" wrapText="1"/>
    </xf>
    <xf numFmtId="0" fontId="13" fillId="48" borderId="70" xfId="43" applyFont="1" applyFill="1" applyBorder="1" applyAlignment="1">
      <alignment horizontal="center" vertical="center" wrapText="1"/>
    </xf>
    <xf numFmtId="0" fontId="11" fillId="0" borderId="0" xfId="43" applyFont="1"/>
    <xf numFmtId="0" fontId="12" fillId="0" borderId="61" xfId="43" applyFont="1" applyBorder="1" applyAlignment="1">
      <alignment horizontal="left" wrapText="1"/>
    </xf>
    <xf numFmtId="0" fontId="45" fillId="50" borderId="58" xfId="41" applyFont="1" applyFill="1" applyBorder="1" applyAlignment="1">
      <alignment horizontal="center" vertical="center" wrapText="1"/>
    </xf>
    <xf numFmtId="0" fontId="10" fillId="0" borderId="0" xfId="40" applyFont="1"/>
    <xf numFmtId="49" fontId="9" fillId="0" borderId="97" xfId="44" applyNumberFormat="1" applyFont="1" applyBorder="1" applyAlignment="1">
      <alignment horizontal="left" wrapText="1"/>
    </xf>
    <xf numFmtId="0" fontId="58" fillId="0" borderId="0" xfId="40" applyFont="1"/>
    <xf numFmtId="49" fontId="9" fillId="29" borderId="63" xfId="44" applyNumberFormat="1" applyFont="1" applyFill="1" applyBorder="1" applyAlignment="1">
      <alignment horizontal="left" wrapText="1"/>
    </xf>
    <xf numFmtId="49" fontId="12" fillId="29" borderId="63" xfId="44" applyNumberFormat="1" applyFont="1" applyFill="1" applyBorder="1" applyAlignment="1">
      <alignment horizontal="left" wrapText="1"/>
    </xf>
    <xf numFmtId="49" fontId="9" fillId="0" borderId="63" xfId="44" applyNumberFormat="1" applyFont="1" applyBorder="1" applyAlignment="1">
      <alignment horizontal="left" wrapText="1"/>
    </xf>
    <xf numFmtId="49" fontId="9" fillId="0" borderId="63" xfId="44" applyNumberFormat="1" applyFont="1" applyFill="1" applyBorder="1" applyAlignment="1">
      <alignment horizontal="left" wrapText="1"/>
    </xf>
    <xf numFmtId="49" fontId="9" fillId="0" borderId="63" xfId="43" applyNumberFormat="1" applyFont="1" applyBorder="1" applyAlignment="1">
      <alignment horizontal="left"/>
    </xf>
    <xf numFmtId="49" fontId="9" fillId="29" borderId="98" xfId="44" applyNumberFormat="1" applyFont="1" applyFill="1" applyBorder="1" applyAlignment="1">
      <alignment horizontal="left" wrapText="1"/>
    </xf>
    <xf numFmtId="170" fontId="12" fillId="0" borderId="52" xfId="35" applyNumberFormat="1" applyFont="1" applyBorder="1" applyAlignment="1">
      <alignment horizontal="center" vertical="center"/>
    </xf>
    <xf numFmtId="0" fontId="9" fillId="0" borderId="21" xfId="40" applyFont="1" applyBorder="1"/>
    <xf numFmtId="3" fontId="9" fillId="0" borderId="58" xfId="40" applyNumberFormat="1" applyFont="1" applyBorder="1"/>
    <xf numFmtId="3" fontId="9" fillId="0" borderId="50" xfId="40" applyNumberFormat="1" applyFont="1" applyBorder="1"/>
    <xf numFmtId="170" fontId="12" fillId="0" borderId="16" xfId="35" applyNumberFormat="1" applyFont="1" applyBorder="1" applyAlignment="1">
      <alignment horizontal="center" vertical="center"/>
    </xf>
    <xf numFmtId="3" fontId="9" fillId="0" borderId="34" xfId="40" applyNumberFormat="1" applyFont="1" applyBorder="1"/>
    <xf numFmtId="3" fontId="9" fillId="0" borderId="59" xfId="40" applyNumberFormat="1" applyFont="1" applyBorder="1"/>
    <xf numFmtId="0" fontId="59" fillId="0" borderId="0" xfId="40" applyFont="1"/>
    <xf numFmtId="0" fontId="9" fillId="0" borderId="0" xfId="40" applyFont="1"/>
    <xf numFmtId="14" fontId="10" fillId="0" borderId="0" xfId="40" applyNumberFormat="1" applyFont="1"/>
    <xf numFmtId="167" fontId="9" fillId="0" borderId="0" xfId="40" applyNumberFormat="1" applyFont="1"/>
    <xf numFmtId="3" fontId="10" fillId="0" borderId="0" xfId="40" applyNumberFormat="1" applyFont="1"/>
    <xf numFmtId="3" fontId="10" fillId="0" borderId="0" xfId="40" applyNumberFormat="1" applyFont="1" applyBorder="1"/>
    <xf numFmtId="0" fontId="9" fillId="0" borderId="0" xfId="40" applyFont="1" applyBorder="1" applyAlignment="1">
      <alignment horizontal="center"/>
    </xf>
    <xf numFmtId="0" fontId="10" fillId="0" borderId="0" xfId="40" applyFont="1" applyBorder="1"/>
    <xf numFmtId="173" fontId="49" fillId="0" borderId="0" xfId="33" applyNumberFormat="1" applyFont="1" applyBorder="1"/>
    <xf numFmtId="0" fontId="13" fillId="27" borderId="16" xfId="40" applyFont="1" applyFill="1" applyBorder="1" applyAlignment="1">
      <alignment horizontal="center" vertical="center" wrapText="1"/>
    </xf>
    <xf numFmtId="0" fontId="19" fillId="27" borderId="16" xfId="40" quotePrefix="1" applyFont="1" applyFill="1" applyBorder="1" applyAlignment="1">
      <alignment horizontal="center" vertical="center" wrapText="1"/>
    </xf>
    <xf numFmtId="0" fontId="13" fillId="47" borderId="59" xfId="43" applyFont="1" applyFill="1" applyBorder="1" applyAlignment="1">
      <alignment horizontal="center" vertical="center" wrapText="1"/>
    </xf>
    <xf numFmtId="0" fontId="56" fillId="0" borderId="0" xfId="40" applyFont="1"/>
    <xf numFmtId="0" fontId="10" fillId="0" borderId="0" xfId="44" applyFont="1"/>
    <xf numFmtId="3" fontId="12" fillId="27" borderId="18" xfId="44" applyNumberFormat="1" applyFont="1" applyFill="1" applyBorder="1"/>
    <xf numFmtId="171" fontId="10" fillId="0" borderId="45" xfId="37" applyNumberFormat="1" applyFont="1" applyBorder="1"/>
    <xf numFmtId="3" fontId="12" fillId="27" borderId="20" xfId="44" applyNumberFormat="1" applyFont="1" applyFill="1" applyBorder="1"/>
    <xf numFmtId="173" fontId="9" fillId="0" borderId="45" xfId="37" applyNumberFormat="1" applyFont="1" applyBorder="1"/>
    <xf numFmtId="167" fontId="9" fillId="0" borderId="45" xfId="37" applyNumberFormat="1" applyFont="1" applyBorder="1" applyAlignment="1">
      <alignment horizontal="center"/>
    </xf>
    <xf numFmtId="171" fontId="58" fillId="0" borderId="0" xfId="44" applyNumberFormat="1" applyFont="1"/>
    <xf numFmtId="1" fontId="58" fillId="0" borderId="0" xfId="44" applyNumberFormat="1" applyFont="1"/>
    <xf numFmtId="14" fontId="10" fillId="0" borderId="0" xfId="44" applyNumberFormat="1" applyFont="1"/>
    <xf numFmtId="3" fontId="12" fillId="27" borderId="47" xfId="44" applyNumberFormat="1" applyFont="1" applyFill="1" applyBorder="1"/>
    <xf numFmtId="3" fontId="12" fillId="27" borderId="25" xfId="44" applyNumberFormat="1" applyFont="1" applyFill="1" applyBorder="1"/>
    <xf numFmtId="171" fontId="12" fillId="27" borderId="18" xfId="37" applyNumberFormat="1" applyFont="1" applyFill="1" applyBorder="1" applyAlignment="1">
      <alignment vertical="center"/>
    </xf>
    <xf numFmtId="171" fontId="12" fillId="27" borderId="25" xfId="37" applyNumberFormat="1" applyFont="1" applyFill="1" applyBorder="1" applyAlignment="1">
      <alignment vertical="center"/>
    </xf>
    <xf numFmtId="3" fontId="12" fillId="27" borderId="30" xfId="44" applyNumberFormat="1" applyFont="1" applyFill="1" applyBorder="1"/>
    <xf numFmtId="3" fontId="12" fillId="27" borderId="28" xfId="44" applyNumberFormat="1" applyFont="1" applyFill="1" applyBorder="1"/>
    <xf numFmtId="173" fontId="9" fillId="0" borderId="48" xfId="37" applyNumberFormat="1" applyFont="1" applyBorder="1"/>
    <xf numFmtId="167" fontId="9" fillId="0" borderId="48" xfId="37" applyNumberFormat="1" applyFont="1" applyBorder="1" applyAlignment="1">
      <alignment horizontal="center"/>
    </xf>
    <xf numFmtId="0" fontId="12" fillId="24" borderId="16" xfId="44" applyFont="1" applyFill="1" applyBorder="1" applyAlignment="1">
      <alignment horizontal="center"/>
    </xf>
    <xf numFmtId="171" fontId="60" fillId="27" borderId="16" xfId="37" applyNumberFormat="1" applyFont="1" applyFill="1" applyBorder="1" applyAlignment="1">
      <alignment horizontal="right"/>
    </xf>
    <xf numFmtId="171" fontId="12" fillId="0" borderId="16" xfId="37" applyNumberFormat="1" applyFont="1" applyBorder="1" applyAlignment="1">
      <alignment horizontal="center"/>
    </xf>
    <xf numFmtId="3" fontId="12" fillId="0" borderId="16" xfId="44" applyNumberFormat="1" applyFont="1" applyBorder="1" applyAlignment="1">
      <alignment horizontal="center"/>
    </xf>
    <xf numFmtId="173" fontId="9" fillId="0" borderId="16" xfId="37" applyNumberFormat="1" applyFont="1" applyBorder="1"/>
    <xf numFmtId="167" fontId="9" fillId="0" borderId="16" xfId="37" applyNumberFormat="1" applyFont="1" applyBorder="1" applyAlignment="1">
      <alignment horizontal="center"/>
    </xf>
    <xf numFmtId="171" fontId="49" fillId="0" borderId="0" xfId="44" applyNumberFormat="1" applyFont="1"/>
    <xf numFmtId="0" fontId="9" fillId="0" borderId="0" xfId="44" applyFont="1"/>
    <xf numFmtId="175" fontId="9" fillId="0" borderId="0" xfId="44" applyNumberFormat="1" applyFont="1"/>
    <xf numFmtId="49" fontId="9" fillId="0" borderId="0" xfId="44" applyNumberFormat="1" applyFont="1"/>
    <xf numFmtId="0" fontId="10" fillId="0" borderId="49" xfId="44" applyFont="1" applyBorder="1"/>
    <xf numFmtId="0" fontId="12" fillId="0" borderId="49" xfId="44" applyFont="1" applyBorder="1"/>
    <xf numFmtId="0" fontId="12" fillId="0" borderId="49" xfId="44" applyFont="1" applyBorder="1" applyAlignment="1">
      <alignment horizontal="center"/>
    </xf>
    <xf numFmtId="14" fontId="9" fillId="0" borderId="0" xfId="44" applyNumberFormat="1" applyFont="1"/>
    <xf numFmtId="0" fontId="13" fillId="24" borderId="20" xfId="44" applyFont="1" applyFill="1" applyBorder="1" applyAlignment="1">
      <alignment horizontal="center" vertical="center"/>
    </xf>
    <xf numFmtId="0" fontId="13" fillId="27" borderId="20" xfId="44" applyFont="1" applyFill="1" applyBorder="1" applyAlignment="1">
      <alignment horizontal="center" vertical="center" wrapText="1"/>
    </xf>
    <xf numFmtId="0" fontId="19" fillId="27" borderId="20" xfId="44" quotePrefix="1" applyFont="1" applyFill="1" applyBorder="1" applyAlignment="1">
      <alignment horizontal="center" vertical="center" wrapText="1"/>
    </xf>
    <xf numFmtId="0" fontId="56" fillId="0" borderId="0" xfId="44" applyFont="1"/>
    <xf numFmtId="169" fontId="44" fillId="0" borderId="24" xfId="32" applyNumberFormat="1" applyFont="1" applyFill="1" applyBorder="1" applyAlignment="1">
      <alignment horizontal="center"/>
    </xf>
    <xf numFmtId="169" fontId="44" fillId="0" borderId="25" xfId="32" applyNumberFormat="1" applyFont="1" applyFill="1" applyBorder="1" applyAlignment="1">
      <alignment horizontal="center"/>
    </xf>
    <xf numFmtId="169" fontId="15" fillId="0" borderId="25" xfId="32" applyNumberFormat="1" applyFont="1" applyBorder="1"/>
    <xf numFmtId="169" fontId="44" fillId="0" borderId="28" xfId="32" applyNumberFormat="1" applyFont="1" applyFill="1" applyBorder="1" applyAlignment="1">
      <alignment horizontal="center"/>
    </xf>
    <xf numFmtId="169" fontId="20" fillId="0" borderId="24" xfId="32" applyNumberFormat="1" applyFont="1" applyBorder="1"/>
    <xf numFmtId="169" fontId="20" fillId="0" borderId="25" xfId="32" applyNumberFormat="1" applyFont="1" applyBorder="1"/>
    <xf numFmtId="169" fontId="20" fillId="0" borderId="28" xfId="32" applyNumberFormat="1" applyFont="1" applyBorder="1"/>
    <xf numFmtId="3" fontId="41" fillId="26" borderId="33" xfId="0" applyNumberFormat="1" applyFont="1" applyFill="1" applyBorder="1" applyAlignment="1">
      <alignment horizontal="center" vertical="center"/>
    </xf>
    <xf numFmtId="169" fontId="20" fillId="0" borderId="24" xfId="32" applyNumberFormat="1" applyFont="1" applyFill="1" applyBorder="1" applyAlignment="1"/>
    <xf numFmtId="169" fontId="20" fillId="0" borderId="25" xfId="32" applyNumberFormat="1" applyFont="1" applyFill="1" applyBorder="1" applyAlignment="1"/>
    <xf numFmtId="169" fontId="20" fillId="0" borderId="28" xfId="32" applyNumberFormat="1" applyFont="1" applyFill="1" applyBorder="1" applyAlignment="1"/>
    <xf numFmtId="3" fontId="20" fillId="0" borderId="24" xfId="0" applyNumberFormat="1" applyFont="1" applyBorder="1" applyAlignment="1">
      <alignment horizontal="right"/>
    </xf>
    <xf numFmtId="3" fontId="20" fillId="0" borderId="25" xfId="0" applyNumberFormat="1" applyFont="1" applyBorder="1" applyAlignment="1">
      <alignment horizontal="right"/>
    </xf>
    <xf numFmtId="3" fontId="20" fillId="0" borderId="28" xfId="0" applyNumberFormat="1" applyFont="1" applyBorder="1" applyAlignment="1">
      <alignment horizontal="right"/>
    </xf>
    <xf numFmtId="1" fontId="53" fillId="0" borderId="0" xfId="44" applyNumberFormat="1" applyFont="1"/>
    <xf numFmtId="49" fontId="61" fillId="0" borderId="0" xfId="41" applyNumberFormat="1" applyFont="1"/>
    <xf numFmtId="171" fontId="0" fillId="42" borderId="24" xfId="33" applyNumberFormat="1" applyFont="1" applyFill="1" applyBorder="1"/>
    <xf numFmtId="171" fontId="0" fillId="42" borderId="46" xfId="33" applyNumberFormat="1" applyFont="1" applyFill="1" applyBorder="1"/>
    <xf numFmtId="171" fontId="0" fillId="42" borderId="37" xfId="33" applyNumberFormat="1" applyFont="1" applyFill="1" applyBorder="1"/>
    <xf numFmtId="2" fontId="62" fillId="53" borderId="12" xfId="0" applyNumberFormat="1" applyFont="1" applyFill="1" applyBorder="1"/>
    <xf numFmtId="2" fontId="62" fillId="54" borderId="12" xfId="0" applyNumberFormat="1" applyFont="1" applyFill="1" applyBorder="1"/>
    <xf numFmtId="2" fontId="62" fillId="39" borderId="12" xfId="0" applyNumberFormat="1" applyFont="1" applyFill="1" applyBorder="1"/>
    <xf numFmtId="2" fontId="62" fillId="55" borderId="12" xfId="0" applyNumberFormat="1" applyFont="1" applyFill="1" applyBorder="1"/>
    <xf numFmtId="2" fontId="62" fillId="59" borderId="12" xfId="0" applyNumberFormat="1" applyFont="1" applyFill="1" applyBorder="1"/>
    <xf numFmtId="2" fontId="62" fillId="45" borderId="12" xfId="0" applyNumberFormat="1" applyFont="1" applyFill="1" applyBorder="1"/>
    <xf numFmtId="0" fontId="6" fillId="0" borderId="12" xfId="41" applyFont="1" applyBorder="1"/>
    <xf numFmtId="171" fontId="49" fillId="42" borderId="24" xfId="33" applyNumberFormat="1" applyFont="1" applyFill="1" applyBorder="1"/>
    <xf numFmtId="171" fontId="49" fillId="42" borderId="46" xfId="33" applyNumberFormat="1" applyFont="1" applyFill="1" applyBorder="1"/>
    <xf numFmtId="171" fontId="49" fillId="42" borderId="25" xfId="33" applyNumberFormat="1" applyFont="1" applyFill="1" applyBorder="1"/>
    <xf numFmtId="171" fontId="49" fillId="42" borderId="31" xfId="33" applyNumberFormat="1" applyFont="1" applyFill="1" applyBorder="1"/>
    <xf numFmtId="0" fontId="63" fillId="0" borderId="0" xfId="68" applyFont="1"/>
    <xf numFmtId="0" fontId="61" fillId="0" borderId="0" xfId="68" applyFont="1"/>
    <xf numFmtId="0" fontId="13" fillId="41" borderId="58" xfId="68" applyFont="1" applyFill="1" applyBorder="1" applyAlignment="1">
      <alignment horizontal="center" vertical="center" wrapText="1"/>
    </xf>
    <xf numFmtId="0" fontId="50" fillId="35" borderId="59" xfId="40" applyFont="1" applyFill="1" applyBorder="1" applyAlignment="1" applyProtection="1">
      <alignment horizontal="center" vertical="center" wrapText="1"/>
      <protection locked="0"/>
    </xf>
    <xf numFmtId="3" fontId="47" fillId="0" borderId="101" xfId="68" applyNumberFormat="1" applyFont="1" applyBorder="1"/>
    <xf numFmtId="173" fontId="47" fillId="0" borderId="91" xfId="68" applyNumberFormat="1" applyFont="1" applyBorder="1"/>
    <xf numFmtId="3" fontId="47" fillId="0" borderId="99" xfId="68" applyNumberFormat="1" applyFont="1" applyBorder="1"/>
    <xf numFmtId="173" fontId="47" fillId="0" borderId="66" xfId="68" applyNumberFormat="1" applyFont="1" applyBorder="1"/>
    <xf numFmtId="3" fontId="47" fillId="0" borderId="78" xfId="68" applyNumberFormat="1" applyFont="1" applyBorder="1"/>
    <xf numFmtId="173" fontId="47" fillId="0" borderId="82" xfId="68" applyNumberFormat="1" applyFont="1" applyBorder="1"/>
    <xf numFmtId="3" fontId="47" fillId="0" borderId="66" xfId="68" applyNumberFormat="1" applyFont="1" applyBorder="1"/>
    <xf numFmtId="37" fontId="47" fillId="0" borderId="102" xfId="68" applyNumberFormat="1" applyFont="1" applyBorder="1"/>
    <xf numFmtId="37" fontId="47" fillId="0" borderId="99" xfId="68" applyNumberFormat="1" applyFont="1" applyBorder="1"/>
    <xf numFmtId="171" fontId="47" fillId="0" borderId="78" xfId="68" applyNumberFormat="1" applyFont="1" applyBorder="1"/>
    <xf numFmtId="171" fontId="8" fillId="42" borderId="46" xfId="33" applyNumberFormat="1" applyFont="1" applyFill="1" applyBorder="1"/>
    <xf numFmtId="3" fontId="47" fillId="0" borderId="97" xfId="68" applyNumberFormat="1" applyFont="1" applyBorder="1"/>
    <xf numFmtId="173" fontId="47" fillId="0" borderId="18" xfId="68" applyNumberFormat="1" applyFont="1" applyBorder="1"/>
    <xf numFmtId="0" fontId="47" fillId="0" borderId="66" xfId="68" applyFont="1" applyBorder="1"/>
    <xf numFmtId="173" fontId="47" fillId="0" borderId="103" xfId="68" applyNumberFormat="1" applyFont="1" applyBorder="1"/>
    <xf numFmtId="0" fontId="47" fillId="0" borderId="75" xfId="68" applyFont="1" applyBorder="1"/>
    <xf numFmtId="3" fontId="47" fillId="0" borderId="79" xfId="68" applyNumberFormat="1" applyFont="1" applyBorder="1"/>
    <xf numFmtId="173" fontId="47" fillId="0" borderId="37" xfId="68" applyNumberFormat="1" applyFont="1" applyBorder="1"/>
    <xf numFmtId="3" fontId="66" fillId="42" borderId="102" xfId="33" applyNumberFormat="1" applyFont="1" applyFill="1" applyBorder="1"/>
    <xf numFmtId="3" fontId="47" fillId="0" borderId="84" xfId="68" applyNumberFormat="1" applyFont="1" applyBorder="1"/>
    <xf numFmtId="3" fontId="47" fillId="0" borderId="75" xfId="68" applyNumberFormat="1" applyFont="1" applyBorder="1"/>
    <xf numFmtId="0" fontId="5" fillId="0" borderId="0" xfId="68" applyFont="1"/>
    <xf numFmtId="0" fontId="5" fillId="0" borderId="0" xfId="68"/>
    <xf numFmtId="3" fontId="47" fillId="0" borderId="72" xfId="68" applyNumberFormat="1" applyFont="1" applyBorder="1"/>
    <xf numFmtId="173" fontId="47" fillId="0" borderId="12" xfId="68" applyNumberFormat="1" applyFont="1" applyBorder="1"/>
    <xf numFmtId="3" fontId="47" fillId="0" borderId="15" xfId="68" applyNumberFormat="1" applyFont="1" applyBorder="1"/>
    <xf numFmtId="173" fontId="47" fillId="0" borderId="13" xfId="68" applyNumberFormat="1" applyFont="1" applyBorder="1"/>
    <xf numFmtId="3" fontId="47" fillId="0" borderId="12" xfId="68" applyNumberFormat="1" applyFont="1" applyBorder="1"/>
    <xf numFmtId="37" fontId="47" fillId="0" borderId="72" xfId="68" applyNumberFormat="1" applyFont="1" applyBorder="1"/>
    <xf numFmtId="171" fontId="47" fillId="0" borderId="15" xfId="68" applyNumberFormat="1" applyFont="1" applyBorder="1"/>
    <xf numFmtId="171" fontId="8" fillId="42" borderId="25" xfId="33" applyNumberFormat="1" applyFont="1" applyFill="1" applyBorder="1"/>
    <xf numFmtId="3" fontId="47" fillId="0" borderId="63" xfId="68" applyNumberFormat="1" applyFont="1" applyBorder="1"/>
    <xf numFmtId="37" fontId="47" fillId="0" borderId="72" xfId="33" applyNumberFormat="1" applyFont="1" applyBorder="1"/>
    <xf numFmtId="0" fontId="47" fillId="0" borderId="12" xfId="68" applyFont="1" applyBorder="1"/>
    <xf numFmtId="0" fontId="47" fillId="0" borderId="13" xfId="68" applyFont="1" applyBorder="1"/>
    <xf numFmtId="3" fontId="47" fillId="0" borderId="18" xfId="68" applyNumberFormat="1" applyFont="1" applyBorder="1"/>
    <xf numFmtId="173" fontId="47" fillId="0" borderId="25" xfId="68" applyNumberFormat="1" applyFont="1" applyBorder="1"/>
    <xf numFmtId="3" fontId="66" fillId="42" borderId="25" xfId="33" applyNumberFormat="1" applyFont="1" applyFill="1" applyBorder="1"/>
    <xf numFmtId="3" fontId="47" fillId="0" borderId="61" xfId="68" applyNumberFormat="1" applyFont="1" applyBorder="1"/>
    <xf numFmtId="3" fontId="47" fillId="0" borderId="13" xfId="68" applyNumberFormat="1" applyFont="1" applyBorder="1"/>
    <xf numFmtId="0" fontId="67" fillId="0" borderId="0" xfId="68" applyFont="1" applyAlignment="1">
      <alignment vertical="center"/>
    </xf>
    <xf numFmtId="1" fontId="64" fillId="59" borderId="12" xfId="40" applyNumberFormat="1" applyFont="1" applyFill="1" applyBorder="1" applyAlignment="1" applyProtection="1">
      <alignment vertical="center"/>
      <protection locked="0"/>
    </xf>
    <xf numFmtId="173" fontId="68" fillId="0" borderId="12" xfId="68" applyNumberFormat="1" applyFont="1" applyBorder="1"/>
    <xf numFmtId="0" fontId="13" fillId="51" borderId="12" xfId="68" applyFont="1" applyFill="1" applyBorder="1" applyAlignment="1">
      <alignment vertical="center"/>
    </xf>
    <xf numFmtId="0" fontId="13" fillId="50" borderId="12" xfId="68" applyFont="1" applyFill="1" applyBorder="1" applyAlignment="1">
      <alignment vertical="center"/>
    </xf>
    <xf numFmtId="0" fontId="45" fillId="43" borderId="12" xfId="68" applyFont="1" applyFill="1" applyBorder="1" applyAlignment="1">
      <alignment vertical="center"/>
    </xf>
    <xf numFmtId="0" fontId="13" fillId="47" borderId="18" xfId="68" applyFont="1" applyFill="1" applyBorder="1" applyAlignment="1">
      <alignment vertical="center"/>
    </xf>
    <xf numFmtId="0" fontId="69" fillId="39" borderId="18" xfId="68" applyFont="1" applyFill="1" applyBorder="1" applyAlignment="1"/>
    <xf numFmtId="0" fontId="19" fillId="40" borderId="34" xfId="68" applyFont="1" applyFill="1" applyBorder="1" applyAlignment="1">
      <alignment vertical="center"/>
    </xf>
    <xf numFmtId="0" fontId="19" fillId="38" borderId="34" xfId="68" applyFont="1" applyFill="1" applyBorder="1" applyAlignment="1">
      <alignment vertical="center"/>
    </xf>
    <xf numFmtId="167" fontId="68" fillId="0" borderId="12" xfId="68" applyNumberFormat="1" applyFont="1" applyBorder="1"/>
    <xf numFmtId="0" fontId="70" fillId="0" borderId="0" xfId="68" applyFont="1"/>
    <xf numFmtId="14" fontId="63" fillId="0" borderId="0" xfId="68" applyNumberFormat="1" applyFont="1"/>
    <xf numFmtId="3" fontId="47" fillId="0" borderId="76" xfId="68" applyNumberFormat="1" applyFont="1" applyBorder="1"/>
    <xf numFmtId="173" fontId="47" fillId="0" borderId="14" xfId="68" applyNumberFormat="1" applyFont="1" applyBorder="1"/>
    <xf numFmtId="3" fontId="47" fillId="0" borderId="27" xfId="68" applyNumberFormat="1" applyFont="1" applyBorder="1"/>
    <xf numFmtId="173" fontId="47" fillId="0" borderId="81" xfId="68" applyNumberFormat="1" applyFont="1" applyBorder="1"/>
    <xf numFmtId="3" fontId="47" fillId="0" borderId="68" xfId="68" applyNumberFormat="1" applyFont="1" applyBorder="1"/>
    <xf numFmtId="3" fontId="47" fillId="0" borderId="70" xfId="68" applyNumberFormat="1" applyFont="1" applyBorder="1"/>
    <xf numFmtId="3" fontId="47" fillId="0" borderId="67" xfId="68" applyNumberFormat="1" applyFont="1" applyBorder="1"/>
    <xf numFmtId="37" fontId="47" fillId="0" borderId="68" xfId="68" applyNumberFormat="1" applyFont="1" applyBorder="1"/>
    <xf numFmtId="173" fontId="47" fillId="0" borderId="19" xfId="68" applyNumberFormat="1" applyFont="1" applyBorder="1"/>
    <xf numFmtId="37" fontId="47" fillId="0" borderId="76" xfId="68" applyNumberFormat="1" applyFont="1" applyBorder="1"/>
    <xf numFmtId="171" fontId="47" fillId="0" borderId="27" xfId="68" applyNumberFormat="1" applyFont="1" applyBorder="1"/>
    <xf numFmtId="171" fontId="8" fillId="42" borderId="32" xfId="33" applyNumberFormat="1" applyFont="1" applyFill="1" applyBorder="1"/>
    <xf numFmtId="3" fontId="47" fillId="0" borderId="77" xfId="68" applyNumberFormat="1" applyFont="1" applyBorder="1"/>
    <xf numFmtId="37" fontId="47" fillId="0" borderId="76" xfId="33" applyNumberFormat="1" applyFont="1" applyBorder="1"/>
    <xf numFmtId="173" fontId="47" fillId="0" borderId="29" xfId="68" applyNumberFormat="1" applyFont="1" applyBorder="1"/>
    <xf numFmtId="0" fontId="47" fillId="0" borderId="70" xfId="68" applyFont="1" applyBorder="1"/>
    <xf numFmtId="173" fontId="47" fillId="0" borderId="70" xfId="68" applyNumberFormat="1" applyFont="1" applyBorder="1"/>
    <xf numFmtId="0" fontId="47" fillId="0" borderId="19" xfId="68" applyFont="1" applyBorder="1"/>
    <xf numFmtId="3" fontId="47" fillId="0" borderId="19" xfId="68" applyNumberFormat="1" applyFont="1" applyBorder="1"/>
    <xf numFmtId="173" fontId="47" fillId="0" borderId="32" xfId="68" applyNumberFormat="1" applyFont="1" applyBorder="1"/>
    <xf numFmtId="3" fontId="66" fillId="42" borderId="32" xfId="33" applyNumberFormat="1" applyFont="1" applyFill="1" applyBorder="1"/>
    <xf numFmtId="3" fontId="47" fillId="0" borderId="60" xfId="68" applyNumberFormat="1" applyFont="1" applyBorder="1"/>
    <xf numFmtId="0" fontId="71" fillId="24" borderId="21" xfId="68" applyFont="1" applyFill="1" applyBorder="1" applyAlignment="1">
      <alignment horizontal="center"/>
    </xf>
    <xf numFmtId="171" fontId="72" fillId="0" borderId="16" xfId="71" applyNumberFormat="1" applyFont="1" applyBorder="1"/>
    <xf numFmtId="171" fontId="73" fillId="0" borderId="58" xfId="71" applyNumberFormat="1" applyFont="1" applyBorder="1"/>
    <xf numFmtId="173" fontId="48" fillId="0" borderId="34" xfId="68" applyNumberFormat="1" applyFont="1" applyBorder="1"/>
    <xf numFmtId="171" fontId="73" fillId="0" borderId="85" xfId="71" applyNumberFormat="1" applyFont="1" applyBorder="1"/>
    <xf numFmtId="173" fontId="48" fillId="0" borderId="96" xfId="68" applyNumberFormat="1" applyFont="1" applyBorder="1"/>
    <xf numFmtId="171" fontId="73" fillId="0" borderId="34" xfId="71" applyNumberFormat="1" applyFont="1" applyBorder="1"/>
    <xf numFmtId="171" fontId="73" fillId="0" borderId="33" xfId="71" applyNumberFormat="1" applyFont="1" applyBorder="1"/>
    <xf numFmtId="173" fontId="48" fillId="0" borderId="59" xfId="68" applyNumberFormat="1" applyFont="1" applyBorder="1"/>
    <xf numFmtId="173" fontId="48" fillId="0" borderId="50" xfId="68" applyNumberFormat="1" applyFont="1" applyBorder="1"/>
    <xf numFmtId="173" fontId="48" fillId="0" borderId="14" xfId="68" applyNumberFormat="1" applyFont="1" applyBorder="1"/>
    <xf numFmtId="173" fontId="48" fillId="0" borderId="29" xfId="68" applyNumberFormat="1" applyFont="1" applyBorder="1"/>
    <xf numFmtId="171" fontId="74" fillId="0" borderId="16" xfId="71" applyNumberFormat="1" applyFont="1" applyBorder="1"/>
    <xf numFmtId="171" fontId="73" fillId="0" borderId="104" xfId="71" applyNumberFormat="1" applyFont="1" applyBorder="1"/>
    <xf numFmtId="173" fontId="74" fillId="0" borderId="34" xfId="68" applyNumberFormat="1" applyFont="1" applyBorder="1"/>
    <xf numFmtId="171" fontId="73" fillId="0" borderId="50" xfId="71" applyNumberFormat="1" applyFont="1" applyBorder="1"/>
    <xf numFmtId="171" fontId="73" fillId="0" borderId="21" xfId="71" applyNumberFormat="1" applyFont="1" applyBorder="1"/>
    <xf numFmtId="171" fontId="74" fillId="0" borderId="34" xfId="71" applyNumberFormat="1" applyFont="1" applyBorder="1"/>
    <xf numFmtId="171" fontId="74" fillId="0" borderId="58" xfId="71" applyNumberFormat="1" applyFont="1" applyBorder="1"/>
    <xf numFmtId="171" fontId="74" fillId="0" borderId="59" xfId="71" applyNumberFormat="1" applyFont="1" applyBorder="1"/>
    <xf numFmtId="0" fontId="69" fillId="0" borderId="0" xfId="68" applyFont="1"/>
    <xf numFmtId="176" fontId="68" fillId="0" borderId="0" xfId="68" applyNumberFormat="1" applyFont="1"/>
    <xf numFmtId="0" fontId="68" fillId="0" borderId="0" xfId="68" applyFont="1"/>
    <xf numFmtId="176" fontId="5" fillId="0" borderId="0" xfId="68" applyNumberFormat="1"/>
    <xf numFmtId="0" fontId="74" fillId="0" borderId="0" xfId="68" applyFont="1"/>
    <xf numFmtId="14" fontId="75" fillId="0" borderId="0" xfId="68" applyNumberFormat="1" applyFont="1"/>
    <xf numFmtId="0" fontId="76" fillId="0" borderId="0" xfId="68" applyFont="1"/>
    <xf numFmtId="0" fontId="67" fillId="0" borderId="0" xfId="68" applyFont="1"/>
    <xf numFmtId="14" fontId="65" fillId="0" borderId="0" xfId="68" applyNumberFormat="1" applyFont="1"/>
    <xf numFmtId="167" fontId="63" fillId="0" borderId="0" xfId="68" applyNumberFormat="1" applyFont="1"/>
    <xf numFmtId="0" fontId="69" fillId="48" borderId="12" xfId="68" applyFont="1" applyFill="1" applyBorder="1" applyAlignment="1">
      <alignment horizontal="center" vertical="center" wrapText="1"/>
    </xf>
    <xf numFmtId="2" fontId="76" fillId="0" borderId="0" xfId="72" applyNumberFormat="1" applyFont="1"/>
    <xf numFmtId="173" fontId="77" fillId="0" borderId="0" xfId="68" applyNumberFormat="1" applyFont="1"/>
    <xf numFmtId="2" fontId="78" fillId="53" borderId="12" xfId="40" applyNumberFormat="1" applyFont="1" applyFill="1" applyBorder="1"/>
    <xf numFmtId="2" fontId="79" fillId="0" borderId="0" xfId="72" applyNumberFormat="1" applyFont="1"/>
    <xf numFmtId="0" fontId="80" fillId="53" borderId="12" xfId="68" applyFont="1" applyFill="1" applyBorder="1" applyAlignment="1">
      <alignment horizontal="center"/>
    </xf>
    <xf numFmtId="2" fontId="81" fillId="53" borderId="15" xfId="40" applyNumberFormat="1" applyFont="1" applyFill="1" applyBorder="1"/>
    <xf numFmtId="2" fontId="78" fillId="54" borderId="12" xfId="40" applyNumberFormat="1" applyFont="1" applyFill="1" applyBorder="1"/>
    <xf numFmtId="2" fontId="76" fillId="0" borderId="0" xfId="68" applyNumberFormat="1" applyFont="1"/>
    <xf numFmtId="2" fontId="81" fillId="61" borderId="12" xfId="40" applyNumberFormat="1" applyFont="1" applyFill="1" applyBorder="1"/>
    <xf numFmtId="2" fontId="81" fillId="61" borderId="15" xfId="40" applyNumberFormat="1" applyFont="1" applyFill="1" applyBorder="1"/>
    <xf numFmtId="2" fontId="78" fillId="39" borderId="12" xfId="40" applyNumberFormat="1" applyFont="1" applyFill="1" applyBorder="1"/>
    <xf numFmtId="2" fontId="81" fillId="39" borderId="12" xfId="40" applyNumberFormat="1" applyFont="1" applyFill="1" applyBorder="1"/>
    <xf numFmtId="2" fontId="81" fillId="39" borderId="15" xfId="40" applyNumberFormat="1" applyFont="1" applyFill="1" applyBorder="1"/>
    <xf numFmtId="2" fontId="78" fillId="55" borderId="12" xfId="40" applyNumberFormat="1" applyFont="1" applyFill="1" applyBorder="1"/>
    <xf numFmtId="2" fontId="81" fillId="62" borderId="12" xfId="40" applyNumberFormat="1" applyFont="1" applyFill="1" applyBorder="1"/>
    <xf numFmtId="2" fontId="81" fillId="62" borderId="15" xfId="40" applyNumberFormat="1" applyFont="1" applyFill="1" applyBorder="1"/>
    <xf numFmtId="2" fontId="78" fillId="59" borderId="12" xfId="40" applyNumberFormat="1" applyFont="1" applyFill="1" applyBorder="1"/>
    <xf numFmtId="2" fontId="81" fillId="59" borderId="12" xfId="40" applyNumberFormat="1" applyFont="1" applyFill="1" applyBorder="1"/>
    <xf numFmtId="2" fontId="81" fillId="59" borderId="15" xfId="40" applyNumberFormat="1" applyFont="1" applyFill="1" applyBorder="1"/>
    <xf numFmtId="2" fontId="78" fillId="45" borderId="12" xfId="40" applyNumberFormat="1" applyFont="1" applyFill="1" applyBorder="1"/>
    <xf numFmtId="167" fontId="79" fillId="0" borderId="0" xfId="72" applyNumberFormat="1" applyFont="1"/>
    <xf numFmtId="2" fontId="81" fillId="45" borderId="12" xfId="40" applyNumberFormat="1" applyFont="1" applyFill="1" applyBorder="1"/>
    <xf numFmtId="2" fontId="81" fillId="45" borderId="15" xfId="40" applyNumberFormat="1" applyFont="1" applyFill="1" applyBorder="1"/>
    <xf numFmtId="0" fontId="61" fillId="0" borderId="12" xfId="68" applyFont="1" applyBorder="1"/>
    <xf numFmtId="2" fontId="82" fillId="0" borderId="0" xfId="40" applyNumberFormat="1" applyFont="1" applyBorder="1" applyAlignment="1">
      <alignment vertical="center"/>
    </xf>
    <xf numFmtId="0" fontId="79" fillId="0" borderId="0" xfId="68" applyFont="1" applyBorder="1"/>
    <xf numFmtId="0" fontId="61" fillId="0" borderId="0" xfId="68" applyFont="1" applyBorder="1"/>
    <xf numFmtId="2" fontId="61" fillId="0" borderId="0" xfId="68" applyNumberFormat="1" applyFont="1"/>
    <xf numFmtId="2" fontId="80" fillId="0" borderId="0" xfId="72" applyNumberFormat="1" applyFont="1"/>
    <xf numFmtId="0" fontId="83" fillId="0" borderId="0" xfId="68" applyFont="1" applyFill="1" applyBorder="1"/>
    <xf numFmtId="2" fontId="84" fillId="0" borderId="0" xfId="40" applyNumberFormat="1" applyFont="1" applyBorder="1" applyAlignment="1">
      <alignment vertical="center"/>
    </xf>
    <xf numFmtId="3" fontId="5" fillId="0" borderId="0" xfId="68" applyNumberFormat="1"/>
    <xf numFmtId="171" fontId="5" fillId="0" borderId="0" xfId="68" applyNumberFormat="1"/>
    <xf numFmtId="173" fontId="47" fillId="0" borderId="79" xfId="68" applyNumberFormat="1" applyFont="1" applyBorder="1"/>
    <xf numFmtId="37" fontId="47" fillId="0" borderId="99" xfId="33" applyNumberFormat="1" applyFont="1" applyBorder="1"/>
    <xf numFmtId="173" fontId="47" fillId="0" borderId="75" xfId="68" applyNumberFormat="1" applyFont="1" applyBorder="1"/>
    <xf numFmtId="0" fontId="13" fillId="38" borderId="23" xfId="69" applyFont="1" applyFill="1" applyBorder="1" applyAlignment="1">
      <alignment horizontal="center" vertical="center" wrapText="1"/>
    </xf>
    <xf numFmtId="0" fontId="13" fillId="40" borderId="34" xfId="69" applyFont="1" applyFill="1" applyBorder="1" applyAlignment="1">
      <alignment horizontal="center" vertical="center" wrapText="1"/>
    </xf>
    <xf numFmtId="0" fontId="13" fillId="40" borderId="59" xfId="69" applyFont="1" applyFill="1" applyBorder="1" applyAlignment="1">
      <alignment horizontal="center" vertical="center" wrapText="1"/>
    </xf>
    <xf numFmtId="0" fontId="13" fillId="42" borderId="22" xfId="68" applyFont="1" applyFill="1" applyBorder="1" applyAlignment="1">
      <alignment horizontal="center" vertical="center" wrapText="1"/>
    </xf>
    <xf numFmtId="1" fontId="50" fillId="35" borderId="34" xfId="40" applyNumberFormat="1" applyFont="1" applyFill="1" applyBorder="1" applyAlignment="1" applyProtection="1">
      <alignment horizontal="center" vertical="center" wrapText="1"/>
      <protection locked="0"/>
    </xf>
    <xf numFmtId="1" fontId="13" fillId="59" borderId="21" xfId="40" applyNumberFormat="1" applyFont="1" applyFill="1" applyBorder="1" applyAlignment="1" applyProtection="1">
      <alignment horizontal="center" vertical="center" wrapText="1"/>
      <protection locked="0"/>
    </xf>
    <xf numFmtId="1" fontId="13" fillId="59" borderId="34" xfId="40" applyNumberFormat="1" applyFont="1" applyFill="1" applyBorder="1" applyAlignment="1" applyProtection="1">
      <alignment horizontal="center" vertical="center" wrapText="1"/>
      <protection locked="0"/>
    </xf>
    <xf numFmtId="0" fontId="13" fillId="51" borderId="50" xfId="68" applyFont="1" applyFill="1" applyBorder="1" applyAlignment="1">
      <alignment horizontal="center" vertical="center" wrapText="1"/>
    </xf>
    <xf numFmtId="0" fontId="13" fillId="51" borderId="34" xfId="68" applyFont="1" applyFill="1" applyBorder="1" applyAlignment="1">
      <alignment horizontal="center" vertical="center" wrapText="1"/>
    </xf>
    <xf numFmtId="0" fontId="13" fillId="51" borderId="33" xfId="68" applyFont="1" applyFill="1" applyBorder="1" applyAlignment="1">
      <alignment horizontal="center" vertical="center" wrapText="1"/>
    </xf>
    <xf numFmtId="0" fontId="13" fillId="50" borderId="50" xfId="68" applyFont="1" applyFill="1" applyBorder="1" applyAlignment="1">
      <alignment horizontal="center" vertical="center" wrapText="1"/>
    </xf>
    <xf numFmtId="0" fontId="13" fillId="50" borderId="34" xfId="68" applyFont="1" applyFill="1" applyBorder="1" applyAlignment="1">
      <alignment horizontal="center" vertical="center" wrapText="1"/>
    </xf>
    <xf numFmtId="0" fontId="13" fillId="50" borderId="23" xfId="68" applyFont="1" applyFill="1" applyBorder="1" applyAlignment="1">
      <alignment horizontal="center" vertical="center" wrapText="1"/>
    </xf>
    <xf numFmtId="0" fontId="13" fillId="43" borderId="59" xfId="68" applyFont="1" applyFill="1" applyBorder="1" applyAlignment="1">
      <alignment horizontal="center" vertical="center" wrapText="1"/>
    </xf>
    <xf numFmtId="0" fontId="50" fillId="36" borderId="21" xfId="40" applyFont="1" applyFill="1" applyBorder="1" applyAlignment="1" applyProtection="1">
      <alignment horizontal="center" vertical="center" wrapText="1"/>
      <protection locked="0"/>
    </xf>
    <xf numFmtId="0" fontId="50" fillId="36" borderId="59" xfId="40" applyFont="1" applyFill="1" applyBorder="1" applyAlignment="1" applyProtection="1">
      <alignment horizontal="center" vertical="center" wrapText="1"/>
      <protection locked="0"/>
    </xf>
    <xf numFmtId="0" fontId="13" fillId="38" borderId="21" xfId="69" applyFont="1" applyFill="1" applyBorder="1" applyAlignment="1">
      <alignment horizontal="center" vertical="center" wrapText="1"/>
    </xf>
    <xf numFmtId="0" fontId="13" fillId="38" borderId="34" xfId="69" applyFont="1" applyFill="1" applyBorder="1" applyAlignment="1">
      <alignment horizontal="center" vertical="center" wrapText="1"/>
    </xf>
    <xf numFmtId="1" fontId="50" fillId="49" borderId="34" xfId="40" applyNumberFormat="1" applyFont="1" applyFill="1" applyBorder="1" applyAlignment="1" applyProtection="1">
      <alignment horizontal="center" vertical="center" wrapText="1"/>
      <protection locked="0"/>
    </xf>
    <xf numFmtId="1" fontId="50" fillId="49" borderId="23" xfId="40" applyNumberFormat="1" applyFont="1" applyFill="1" applyBorder="1" applyAlignment="1" applyProtection="1">
      <alignment horizontal="center" vertical="center" wrapText="1"/>
      <protection locked="0"/>
    </xf>
    <xf numFmtId="0" fontId="13" fillId="40" borderId="21" xfId="69" applyFont="1" applyFill="1" applyBorder="1" applyAlignment="1">
      <alignment horizontal="center" vertical="center" wrapText="1"/>
    </xf>
    <xf numFmtId="0" fontId="13" fillId="40" borderId="23" xfId="69" applyFont="1" applyFill="1" applyBorder="1" applyAlignment="1">
      <alignment horizontal="center" vertical="center" wrapText="1"/>
    </xf>
    <xf numFmtId="0" fontId="13" fillId="47" borderId="58" xfId="68" applyFont="1" applyFill="1" applyBorder="1" applyAlignment="1">
      <alignment horizontal="center" vertical="center" wrapText="1"/>
    </xf>
    <xf numFmtId="0" fontId="13" fillId="47" borderId="23" xfId="68" applyFont="1" applyFill="1" applyBorder="1" applyAlignment="1">
      <alignment horizontal="center" vertical="center" wrapText="1"/>
    </xf>
    <xf numFmtId="0" fontId="13" fillId="60" borderId="58" xfId="40" applyFont="1" applyFill="1" applyBorder="1" applyAlignment="1" applyProtection="1">
      <alignment horizontal="center" vertical="center" wrapText="1"/>
      <protection locked="0"/>
    </xf>
    <xf numFmtId="0" fontId="13" fillId="60" borderId="23" xfId="40" applyFont="1" applyFill="1" applyBorder="1" applyAlignment="1" applyProtection="1">
      <alignment horizontal="center" vertical="center" wrapText="1"/>
      <protection locked="0"/>
    </xf>
    <xf numFmtId="0" fontId="13" fillId="39" borderId="58" xfId="68" applyFont="1" applyFill="1" applyBorder="1" applyAlignment="1">
      <alignment horizontal="center" vertical="center" wrapText="1"/>
    </xf>
    <xf numFmtId="0" fontId="13" fillId="39" borderId="23" xfId="68" applyFont="1" applyFill="1" applyBorder="1" applyAlignment="1">
      <alignment horizontal="center" vertical="center" wrapText="1"/>
    </xf>
    <xf numFmtId="0" fontId="13" fillId="40" borderId="33" xfId="69" applyFont="1" applyFill="1" applyBorder="1" applyAlignment="1">
      <alignment horizontal="center" vertical="center" wrapText="1"/>
    </xf>
    <xf numFmtId="1" fontId="50" fillId="57" borderId="58" xfId="70" applyNumberFormat="1" applyFont="1" applyFill="1" applyBorder="1" applyAlignment="1" applyProtection="1">
      <alignment horizontal="center" vertical="center" wrapText="1"/>
      <protection locked="0"/>
    </xf>
    <xf numFmtId="1" fontId="50" fillId="57" borderId="33" xfId="70" applyNumberFormat="1" applyFont="1" applyFill="1" applyBorder="1" applyAlignment="1" applyProtection="1">
      <alignment horizontal="center" vertical="center" wrapText="1"/>
      <protection locked="0"/>
    </xf>
    <xf numFmtId="0" fontId="13" fillId="30" borderId="34" xfId="68" applyFont="1" applyFill="1" applyBorder="1" applyAlignment="1">
      <alignment horizontal="center" vertical="center" wrapText="1"/>
    </xf>
    <xf numFmtId="0" fontId="13" fillId="30" borderId="23" xfId="68" applyFont="1" applyFill="1" applyBorder="1" applyAlignment="1">
      <alignment horizontal="center" vertical="center" wrapText="1"/>
    </xf>
    <xf numFmtId="0" fontId="13" fillId="41" borderId="23" xfId="68" applyFont="1" applyFill="1" applyBorder="1" applyAlignment="1">
      <alignment horizontal="center" vertical="center" wrapText="1"/>
    </xf>
    <xf numFmtId="0" fontId="13" fillId="30" borderId="21" xfId="68" applyFont="1" applyFill="1" applyBorder="1" applyAlignment="1">
      <alignment horizontal="center" vertical="center" wrapText="1"/>
    </xf>
    <xf numFmtId="0" fontId="13" fillId="30" borderId="59" xfId="68" applyFont="1" applyFill="1" applyBorder="1" applyAlignment="1">
      <alignment horizontal="center" vertical="center" wrapText="1"/>
    </xf>
    <xf numFmtId="0" fontId="13" fillId="41" borderId="21" xfId="68" applyFont="1" applyFill="1" applyBorder="1" applyAlignment="1">
      <alignment horizontal="center" vertical="center" wrapText="1"/>
    </xf>
    <xf numFmtId="0" fontId="13" fillId="41" borderId="59" xfId="68" applyFont="1" applyFill="1" applyBorder="1" applyAlignment="1">
      <alignment horizontal="center" vertical="center" wrapText="1"/>
    </xf>
    <xf numFmtId="0" fontId="13" fillId="47" borderId="21" xfId="68" applyFont="1" applyFill="1" applyBorder="1" applyAlignment="1">
      <alignment horizontal="center" vertical="center" wrapText="1"/>
    </xf>
    <xf numFmtId="0" fontId="13" fillId="47" borderId="34" xfId="68" applyFont="1" applyFill="1" applyBorder="1" applyAlignment="1">
      <alignment horizontal="center" vertical="center" wrapText="1"/>
    </xf>
    <xf numFmtId="0" fontId="19" fillId="42" borderId="22" xfId="68" quotePrefix="1" applyFont="1" applyFill="1" applyBorder="1" applyAlignment="1">
      <alignment horizontal="center" vertical="center" wrapText="1"/>
    </xf>
    <xf numFmtId="0" fontId="61" fillId="0" borderId="23" xfId="68" applyFont="1" applyBorder="1" applyAlignment="1">
      <alignment horizontal="center" vertical="center"/>
    </xf>
    <xf numFmtId="0" fontId="13" fillId="24" borderId="20" xfId="68" applyFont="1" applyFill="1" applyBorder="1" applyAlignment="1">
      <alignment horizontal="center" vertical="center"/>
    </xf>
    <xf numFmtId="0" fontId="13" fillId="42" borderId="100" xfId="68" applyFont="1" applyFill="1" applyBorder="1" applyAlignment="1">
      <alignment horizontal="center" vertical="center" wrapText="1"/>
    </xf>
    <xf numFmtId="0" fontId="45" fillId="43" borderId="21" xfId="68" applyFont="1" applyFill="1" applyBorder="1" applyAlignment="1">
      <alignment horizontal="center" vertical="center" wrapText="1"/>
    </xf>
    <xf numFmtId="0" fontId="9" fillId="0" borderId="93" xfId="68" applyFont="1" applyBorder="1" applyAlignment="1">
      <alignment horizontal="left" wrapText="1"/>
    </xf>
    <xf numFmtId="0" fontId="9" fillId="0" borderId="94" xfId="68" applyFont="1" applyBorder="1" applyAlignment="1">
      <alignment horizontal="left" wrapText="1"/>
    </xf>
    <xf numFmtId="0" fontId="9" fillId="29" borderId="95" xfId="68" applyFont="1" applyFill="1" applyBorder="1" applyAlignment="1">
      <alignment horizontal="left" wrapText="1"/>
    </xf>
    <xf numFmtId="0" fontId="12" fillId="29" borderId="95" xfId="68" applyFont="1" applyFill="1" applyBorder="1" applyAlignment="1">
      <alignment horizontal="left" wrapText="1"/>
    </xf>
    <xf numFmtId="0" fontId="9" fillId="0" borderId="95" xfId="68" applyFont="1" applyBorder="1" applyAlignment="1">
      <alignment horizontal="left" wrapText="1"/>
    </xf>
    <xf numFmtId="0" fontId="9" fillId="0" borderId="95" xfId="68" applyFont="1" applyBorder="1" applyAlignment="1">
      <alignment horizontal="left"/>
    </xf>
    <xf numFmtId="0" fontId="9" fillId="29" borderId="80" xfId="68" applyFont="1" applyFill="1" applyBorder="1" applyAlignment="1">
      <alignment horizontal="left" wrapText="1"/>
    </xf>
    <xf numFmtId="49" fontId="47" fillId="0" borderId="24" xfId="68" applyNumberFormat="1" applyFont="1" applyBorder="1"/>
    <xf numFmtId="49" fontId="47" fillId="0" borderId="25" xfId="68" applyNumberFormat="1" applyFont="1" applyBorder="1"/>
    <xf numFmtId="49" fontId="47" fillId="0" borderId="28" xfId="68" applyNumberFormat="1" applyFont="1" applyBorder="1"/>
    <xf numFmtId="0" fontId="87" fillId="0" borderId="0" xfId="73" applyFont="1"/>
    <xf numFmtId="0" fontId="88" fillId="24" borderId="73" xfId="73" applyFont="1" applyFill="1" applyBorder="1" applyAlignment="1">
      <alignment horizontal="center"/>
    </xf>
    <xf numFmtId="0" fontId="88" fillId="63" borderId="92" xfId="73" applyFont="1" applyFill="1" applyBorder="1" applyAlignment="1">
      <alignment horizontal="center" vertical="center" wrapText="1"/>
    </xf>
    <xf numFmtId="0" fontId="91" fillId="64" borderId="92" xfId="73" quotePrefix="1" applyFont="1" applyFill="1" applyBorder="1" applyAlignment="1">
      <alignment horizontal="center" vertical="center" wrapText="1"/>
    </xf>
    <xf numFmtId="0" fontId="88" fillId="65" borderId="92" xfId="73" applyFont="1" applyFill="1" applyBorder="1" applyAlignment="1">
      <alignment horizontal="center" vertical="center" wrapText="1"/>
    </xf>
    <xf numFmtId="1" fontId="92" fillId="35" borderId="92" xfId="40" applyNumberFormat="1" applyFont="1" applyFill="1" applyBorder="1" applyAlignment="1" applyProtection="1">
      <alignment horizontal="center" vertical="center" wrapText="1"/>
      <protection locked="0"/>
    </xf>
    <xf numFmtId="0" fontId="92" fillId="35" borderId="51" xfId="40" applyFont="1" applyFill="1" applyBorder="1" applyAlignment="1" applyProtection="1">
      <alignment horizontal="center" vertical="center" wrapText="1"/>
      <protection locked="0"/>
    </xf>
    <xf numFmtId="0" fontId="45" fillId="0" borderId="12" xfId="40" applyFont="1" applyBorder="1" applyAlignment="1" applyProtection="1">
      <alignment horizontal="center" vertical="center" wrapText="1"/>
      <protection locked="0"/>
    </xf>
    <xf numFmtId="0" fontId="93" fillId="0" borderId="0" xfId="73" applyFont="1"/>
    <xf numFmtId="0" fontId="95" fillId="63" borderId="58" xfId="73" applyFont="1" applyFill="1" applyBorder="1" applyAlignment="1">
      <alignment horizontal="center"/>
    </xf>
    <xf numFmtId="0" fontId="95" fillId="43" borderId="34" xfId="73" applyFont="1" applyFill="1" applyBorder="1" applyAlignment="1">
      <alignment horizontal="center" vertical="center"/>
    </xf>
    <xf numFmtId="0" fontId="95" fillId="0" borderId="34" xfId="73" applyFont="1" applyBorder="1" applyAlignment="1">
      <alignment horizontal="center" vertical="center"/>
    </xf>
    <xf numFmtId="0" fontId="95" fillId="52" borderId="34" xfId="73" applyFont="1" applyFill="1" applyBorder="1" applyAlignment="1">
      <alignment horizontal="center" vertical="center"/>
    </xf>
    <xf numFmtId="1" fontId="88" fillId="59" borderId="34" xfId="40" applyNumberFormat="1" applyFont="1" applyFill="1" applyBorder="1" applyAlignment="1" applyProtection="1">
      <alignment horizontal="center" vertical="center" wrapText="1"/>
      <protection locked="0"/>
    </xf>
    <xf numFmtId="0" fontId="95" fillId="51" borderId="34" xfId="73" applyFont="1" applyFill="1" applyBorder="1" applyAlignment="1">
      <alignment horizontal="center" vertical="center"/>
    </xf>
    <xf numFmtId="0" fontId="95" fillId="50" borderId="34" xfId="73" applyFont="1" applyFill="1" applyBorder="1" applyAlignment="1">
      <alignment horizontal="center" vertical="center"/>
    </xf>
    <xf numFmtId="0" fontId="96" fillId="38" borderId="34" xfId="73" applyFont="1" applyFill="1" applyBorder="1" applyAlignment="1">
      <alignment horizontal="center" vertical="center"/>
    </xf>
    <xf numFmtId="0" fontId="95" fillId="49" borderId="34" xfId="73" applyFont="1" applyFill="1" applyBorder="1" applyAlignment="1">
      <alignment horizontal="center" vertical="center"/>
    </xf>
    <xf numFmtId="0" fontId="96" fillId="40" borderId="34" xfId="73" applyFont="1" applyFill="1" applyBorder="1" applyAlignment="1">
      <alignment horizontal="center" vertical="center"/>
    </xf>
    <xf numFmtId="0" fontId="96" fillId="64" borderId="34" xfId="73" applyFont="1" applyFill="1" applyBorder="1" applyAlignment="1">
      <alignment horizontal="center"/>
    </xf>
    <xf numFmtId="0" fontId="95" fillId="47" borderId="34" xfId="73" quotePrefix="1" applyFont="1" applyFill="1" applyBorder="1" applyAlignment="1">
      <alignment horizontal="center" vertical="center"/>
    </xf>
    <xf numFmtId="0" fontId="95" fillId="60" borderId="34" xfId="73" quotePrefix="1" applyFont="1" applyFill="1" applyBorder="1" applyAlignment="1">
      <alignment horizontal="center" vertical="center"/>
    </xf>
    <xf numFmtId="0" fontId="95" fillId="39" borderId="34" xfId="73" quotePrefix="1" applyFont="1" applyFill="1" applyBorder="1" applyAlignment="1">
      <alignment horizontal="center" vertical="center"/>
    </xf>
    <xf numFmtId="1" fontId="92" fillId="57" borderId="34" xfId="74" applyNumberFormat="1" applyFont="1" applyFill="1" applyBorder="1" applyAlignment="1" applyProtection="1">
      <alignment horizontal="center" vertical="center" wrapText="1"/>
      <protection locked="0"/>
    </xf>
    <xf numFmtId="0" fontId="95" fillId="30" borderId="34" xfId="73" applyFont="1" applyFill="1" applyBorder="1" applyAlignment="1">
      <alignment horizontal="center" vertical="center" wrapText="1"/>
    </xf>
    <xf numFmtId="0" fontId="95" fillId="0" borderId="34" xfId="73" applyFont="1" applyFill="1" applyBorder="1" applyAlignment="1">
      <alignment horizontal="center" vertical="center" wrapText="1"/>
    </xf>
    <xf numFmtId="0" fontId="95" fillId="41" borderId="34" xfId="73" applyFont="1" applyFill="1" applyBorder="1" applyAlignment="1">
      <alignment horizontal="center" vertical="center" wrapText="1"/>
    </xf>
    <xf numFmtId="0" fontId="95" fillId="65" borderId="34" xfId="40" applyFont="1" applyFill="1" applyBorder="1" applyAlignment="1">
      <alignment horizontal="center" vertical="center"/>
    </xf>
    <xf numFmtId="0" fontId="95" fillId="47" borderId="34" xfId="73" applyFont="1" applyFill="1" applyBorder="1" applyAlignment="1">
      <alignment horizontal="center" vertical="center" wrapText="1"/>
    </xf>
    <xf numFmtId="0" fontId="92" fillId="35" borderId="34" xfId="40" applyFont="1" applyFill="1" applyBorder="1" applyAlignment="1" applyProtection="1">
      <alignment horizontal="center" vertical="center" wrapText="1"/>
      <protection locked="0"/>
    </xf>
    <xf numFmtId="0" fontId="92" fillId="66" borderId="34" xfId="40" applyFont="1" applyFill="1" applyBorder="1" applyAlignment="1" applyProtection="1">
      <alignment horizontal="center" vertical="center" wrapText="1"/>
      <protection locked="0"/>
    </xf>
    <xf numFmtId="49" fontId="98" fillId="0" borderId="0" xfId="73" applyNumberFormat="1" applyFont="1"/>
    <xf numFmtId="0" fontId="99" fillId="0" borderId="24" xfId="73" applyFont="1" applyBorder="1" applyAlignment="1">
      <alignment horizontal="left" wrapText="1"/>
    </xf>
    <xf numFmtId="171" fontId="56" fillId="63" borderId="24" xfId="33" applyNumberFormat="1" applyFont="1" applyFill="1" applyBorder="1"/>
    <xf numFmtId="3" fontId="51" fillId="0" borderId="26" xfId="73" applyNumberFormat="1" applyFont="1" applyBorder="1"/>
    <xf numFmtId="39" fontId="69" fillId="0" borderId="10" xfId="73" applyNumberFormat="1" applyFont="1" applyBorder="1"/>
    <xf numFmtId="37" fontId="51" fillId="0" borderId="10" xfId="73" applyNumberFormat="1" applyFont="1" applyBorder="1"/>
    <xf numFmtId="3" fontId="51" fillId="0" borderId="10" xfId="73" applyNumberFormat="1" applyFont="1" applyBorder="1"/>
    <xf numFmtId="171" fontId="51" fillId="0" borderId="10" xfId="73" applyNumberFormat="1" applyFont="1" applyBorder="1"/>
    <xf numFmtId="39" fontId="69" fillId="0" borderId="17" xfId="73" applyNumberFormat="1" applyFont="1" applyBorder="1"/>
    <xf numFmtId="171" fontId="11" fillId="64" borderId="24" xfId="33" applyNumberFormat="1" applyFont="1" applyFill="1" applyBorder="1"/>
    <xf numFmtId="37" fontId="51" fillId="0" borderId="92" xfId="73" applyNumberFormat="1" applyFont="1" applyBorder="1"/>
    <xf numFmtId="39" fontId="69" fillId="0" borderId="92" xfId="73" applyNumberFormat="1" applyFont="1" applyBorder="1"/>
    <xf numFmtId="37" fontId="51" fillId="0" borderId="10" xfId="33" applyNumberFormat="1" applyFont="1" applyBorder="1"/>
    <xf numFmtId="0" fontId="51" fillId="0" borderId="10" xfId="73" applyFont="1" applyBorder="1"/>
    <xf numFmtId="3" fontId="56" fillId="65" borderId="24" xfId="33" applyNumberFormat="1" applyFont="1" applyFill="1" applyBorder="1"/>
    <xf numFmtId="173" fontId="69" fillId="0" borderId="10" xfId="73" applyNumberFormat="1" applyFont="1" applyBorder="1"/>
    <xf numFmtId="173" fontId="69" fillId="0" borderId="17" xfId="73" applyNumberFormat="1" applyFont="1" applyBorder="1"/>
    <xf numFmtId="3" fontId="51" fillId="0" borderId="73" xfId="73" applyNumberFormat="1" applyFont="1" applyBorder="1"/>
    <xf numFmtId="3" fontId="51" fillId="0" borderId="17" xfId="73" applyNumberFormat="1" applyFont="1" applyBorder="1"/>
    <xf numFmtId="177" fontId="51" fillId="0" borderId="11" xfId="73" applyNumberFormat="1" applyFont="1" applyBorder="1"/>
    <xf numFmtId="0" fontId="98" fillId="0" borderId="0" xfId="73" applyFont="1"/>
    <xf numFmtId="171" fontId="51" fillId="0" borderId="12" xfId="73" applyNumberFormat="1" applyFont="1" applyBorder="1"/>
    <xf numFmtId="0" fontId="99" fillId="0" borderId="25" xfId="73" applyFont="1" applyBorder="1" applyAlignment="1">
      <alignment horizontal="left" wrapText="1"/>
    </xf>
    <xf numFmtId="171" fontId="56" fillId="63" borderId="25" xfId="33" applyNumberFormat="1" applyFont="1" applyFill="1" applyBorder="1"/>
    <xf numFmtId="3" fontId="51" fillId="0" borderId="15" xfId="73" applyNumberFormat="1" applyFont="1" applyBorder="1"/>
    <xf numFmtId="39" fontId="69" fillId="0" borderId="12" xfId="73" applyNumberFormat="1" applyFont="1" applyBorder="1"/>
    <xf numFmtId="37" fontId="51" fillId="0" borderId="12" xfId="73" applyNumberFormat="1" applyFont="1" applyBorder="1"/>
    <xf numFmtId="3" fontId="51" fillId="0" borderId="12" xfId="73" applyNumberFormat="1" applyFont="1" applyBorder="1"/>
    <xf numFmtId="39" fontId="69" fillId="0" borderId="18" xfId="73" applyNumberFormat="1" applyFont="1" applyBorder="1"/>
    <xf numFmtId="171" fontId="11" fillId="64" borderId="25" xfId="33" applyNumberFormat="1" applyFont="1" applyFill="1" applyBorder="1"/>
    <xf numFmtId="37" fontId="51" fillId="0" borderId="12" xfId="33" applyNumberFormat="1" applyFont="1" applyBorder="1"/>
    <xf numFmtId="0" fontId="51" fillId="0" borderId="12" xfId="73" applyFont="1" applyBorder="1"/>
    <xf numFmtId="3" fontId="56" fillId="65" borderId="25" xfId="33" applyNumberFormat="1" applyFont="1" applyFill="1" applyBorder="1"/>
    <xf numFmtId="173" fontId="69" fillId="0" borderId="12" xfId="73" applyNumberFormat="1" applyFont="1" applyBorder="1"/>
    <xf numFmtId="173" fontId="69" fillId="0" borderId="18" xfId="73" applyNumberFormat="1" applyFont="1" applyBorder="1"/>
    <xf numFmtId="3" fontId="51" fillId="0" borderId="72" xfId="73" applyNumberFormat="1" applyFont="1" applyBorder="1"/>
    <xf numFmtId="3" fontId="51" fillId="0" borderId="18" xfId="73" applyNumberFormat="1" applyFont="1" applyBorder="1"/>
    <xf numFmtId="177" fontId="51" fillId="0" borderId="13" xfId="73" applyNumberFormat="1" applyFont="1" applyBorder="1"/>
    <xf numFmtId="0" fontId="99" fillId="29" borderId="25" xfId="73" applyFont="1" applyFill="1" applyBorder="1" applyAlignment="1">
      <alignment horizontal="left" wrapText="1"/>
    </xf>
    <xf numFmtId="0" fontId="100" fillId="29" borderId="25" xfId="73" applyFont="1" applyFill="1" applyBorder="1" applyAlignment="1">
      <alignment horizontal="left" wrapText="1"/>
    </xf>
    <xf numFmtId="0" fontId="99" fillId="0" borderId="25" xfId="73" applyFont="1" applyBorder="1" applyAlignment="1">
      <alignment horizontal="left"/>
    </xf>
    <xf numFmtId="0" fontId="99" fillId="29" borderId="28" xfId="73" applyFont="1" applyFill="1" applyBorder="1" applyAlignment="1">
      <alignment horizontal="left" wrapText="1"/>
    </xf>
    <xf numFmtId="171" fontId="56" fillId="63" borderId="28" xfId="33" applyNumberFormat="1" applyFont="1" applyFill="1" applyBorder="1"/>
    <xf numFmtId="3" fontId="51" fillId="0" borderId="27" xfId="73" applyNumberFormat="1" applyFont="1" applyBorder="1"/>
    <xf numFmtId="39" fontId="69" fillId="0" borderId="14" xfId="73" applyNumberFormat="1" applyFont="1" applyBorder="1"/>
    <xf numFmtId="37" fontId="51" fillId="0" borderId="14" xfId="73" applyNumberFormat="1" applyFont="1" applyBorder="1"/>
    <xf numFmtId="3" fontId="51" fillId="0" borderId="14" xfId="73" applyNumberFormat="1" applyFont="1" applyBorder="1"/>
    <xf numFmtId="171" fontId="51" fillId="0" borderId="14" xfId="73" applyNumberFormat="1" applyFont="1" applyBorder="1"/>
    <xf numFmtId="39" fontId="69" fillId="0" borderId="30" xfId="73" applyNumberFormat="1" applyFont="1" applyBorder="1"/>
    <xf numFmtId="171" fontId="11" fillId="64" borderId="28" xfId="33" applyNumberFormat="1" applyFont="1" applyFill="1" applyBorder="1"/>
    <xf numFmtId="37" fontId="51" fillId="0" borderId="14" xfId="33" applyNumberFormat="1" applyFont="1" applyBorder="1"/>
    <xf numFmtId="0" fontId="51" fillId="0" borderId="14" xfId="73" applyFont="1" applyBorder="1"/>
    <xf numFmtId="3" fontId="56" fillId="65" borderId="28" xfId="33" applyNumberFormat="1" applyFont="1" applyFill="1" applyBorder="1"/>
    <xf numFmtId="173" fontId="69" fillId="0" borderId="14" xfId="73" applyNumberFormat="1" applyFont="1" applyBorder="1"/>
    <xf numFmtId="173" fontId="69" fillId="0" borderId="30" xfId="73" applyNumberFormat="1" applyFont="1" applyBorder="1"/>
    <xf numFmtId="3" fontId="51" fillId="0" borderId="76" xfId="73" applyNumberFormat="1" applyFont="1" applyBorder="1"/>
    <xf numFmtId="3" fontId="51" fillId="0" borderId="30" xfId="73" applyNumberFormat="1" applyFont="1" applyBorder="1"/>
    <xf numFmtId="177" fontId="51" fillId="0" borderId="29" xfId="73" applyNumberFormat="1" applyFont="1" applyBorder="1"/>
    <xf numFmtId="0" fontId="100" fillId="24" borderId="58" xfId="73" applyFont="1" applyFill="1" applyBorder="1" applyAlignment="1">
      <alignment horizontal="center"/>
    </xf>
    <xf numFmtId="171" fontId="69" fillId="63" borderId="34" xfId="75" applyNumberFormat="1" applyFont="1" applyFill="1" applyBorder="1"/>
    <xf numFmtId="171" fontId="51" fillId="0" borderId="34" xfId="75" applyNumberFormat="1" applyFont="1" applyBorder="1"/>
    <xf numFmtId="39" fontId="69" fillId="0" borderId="34" xfId="73" applyNumberFormat="1" applyFont="1" applyBorder="1"/>
    <xf numFmtId="171" fontId="69" fillId="64" borderId="34" xfId="75" applyNumberFormat="1" applyFont="1" applyFill="1" applyBorder="1"/>
    <xf numFmtId="171" fontId="69" fillId="65" borderId="34" xfId="75" applyNumberFormat="1" applyFont="1" applyFill="1" applyBorder="1"/>
    <xf numFmtId="173" fontId="69" fillId="0" borderId="34" xfId="73" applyNumberFormat="1" applyFont="1" applyBorder="1"/>
    <xf numFmtId="171" fontId="69" fillId="0" borderId="96" xfId="75" applyNumberFormat="1" applyFont="1" applyBorder="1"/>
    <xf numFmtId="171" fontId="69" fillId="0" borderId="105" xfId="75" applyNumberFormat="1" applyFont="1" applyBorder="1"/>
    <xf numFmtId="171" fontId="69" fillId="0" borderId="58" xfId="75" applyNumberFormat="1" applyFont="1" applyBorder="1"/>
    <xf numFmtId="177" fontId="51" fillId="0" borderId="59" xfId="73" applyNumberFormat="1" applyFont="1" applyBorder="1"/>
    <xf numFmtId="167" fontId="101" fillId="0" borderId="0" xfId="73" applyNumberFormat="1" applyFont="1" applyBorder="1"/>
    <xf numFmtId="171" fontId="69" fillId="0" borderId="12" xfId="75" applyNumberFormat="1" applyFont="1" applyBorder="1"/>
    <xf numFmtId="0" fontId="102" fillId="0" borderId="0" xfId="73" applyFont="1"/>
    <xf numFmtId="0" fontId="97" fillId="0" borderId="0" xfId="73" applyFont="1"/>
    <xf numFmtId="0" fontId="103" fillId="0" borderId="0" xfId="73" applyFont="1"/>
    <xf numFmtId="176" fontId="103" fillId="0" borderId="0" xfId="73" applyNumberFormat="1" applyFont="1"/>
    <xf numFmtId="176" fontId="102" fillId="0" borderId="0" xfId="73" applyNumberFormat="1" applyFont="1"/>
    <xf numFmtId="0" fontId="104" fillId="0" borderId="0" xfId="73" applyFont="1"/>
    <xf numFmtId="178" fontId="104" fillId="0" borderId="0" xfId="73" applyNumberFormat="1" applyFont="1"/>
    <xf numFmtId="0" fontId="105" fillId="0" borderId="0" xfId="73" applyFont="1"/>
    <xf numFmtId="14" fontId="104" fillId="0" borderId="0" xfId="73" applyNumberFormat="1" applyFont="1"/>
    <xf numFmtId="0" fontId="106" fillId="0" borderId="0" xfId="73" applyFont="1"/>
    <xf numFmtId="167" fontId="98" fillId="0" borderId="0" xfId="73" applyNumberFormat="1" applyFont="1"/>
    <xf numFmtId="0" fontId="104" fillId="48" borderId="12" xfId="73" applyFont="1" applyFill="1" applyBorder="1" applyAlignment="1">
      <alignment vertical="center"/>
    </xf>
    <xf numFmtId="0" fontId="107" fillId="48" borderId="0" xfId="40" applyFont="1" applyFill="1" applyBorder="1" applyAlignment="1">
      <alignment horizontal="center" vertical="center"/>
    </xf>
    <xf numFmtId="2" fontId="108" fillId="53" borderId="12" xfId="40" applyNumberFormat="1" applyFont="1" applyFill="1" applyBorder="1"/>
    <xf numFmtId="2" fontId="105" fillId="0" borderId="0" xfId="76" applyNumberFormat="1" applyFont="1"/>
    <xf numFmtId="0" fontId="109" fillId="0" borderId="0" xfId="73" applyFont="1"/>
    <xf numFmtId="2" fontId="108" fillId="54" borderId="12" xfId="40" applyNumberFormat="1" applyFont="1" applyFill="1" applyBorder="1"/>
    <xf numFmtId="2" fontId="108" fillId="39" borderId="12" xfId="40" applyNumberFormat="1" applyFont="1" applyFill="1" applyBorder="1"/>
    <xf numFmtId="2" fontId="108" fillId="55" borderId="12" xfId="40" applyNumberFormat="1" applyFont="1" applyFill="1" applyBorder="1"/>
    <xf numFmtId="2" fontId="108" fillId="59" borderId="12" xfId="40" applyNumberFormat="1" applyFont="1" applyFill="1" applyBorder="1"/>
    <xf numFmtId="2" fontId="108" fillId="45" borderId="12" xfId="40" applyNumberFormat="1" applyFont="1" applyFill="1" applyBorder="1"/>
    <xf numFmtId="167" fontId="105" fillId="0" borderId="0" xfId="76" applyNumberFormat="1" applyFont="1"/>
    <xf numFmtId="0" fontId="102" fillId="0" borderId="12" xfId="73" applyFont="1" applyBorder="1"/>
    <xf numFmtId="0" fontId="110" fillId="0" borderId="0" xfId="73" applyFont="1" applyBorder="1"/>
    <xf numFmtId="0" fontId="110" fillId="0" borderId="0" xfId="73" applyFont="1"/>
    <xf numFmtId="0" fontId="102" fillId="0" borderId="0" xfId="73" applyFont="1" applyBorder="1"/>
    <xf numFmtId="2" fontId="111" fillId="0" borderId="0" xfId="40" applyNumberFormat="1" applyFont="1" applyBorder="1" applyAlignment="1">
      <alignment vertical="center"/>
    </xf>
    <xf numFmtId="0" fontId="112" fillId="0" borderId="0" xfId="73" applyFont="1"/>
    <xf numFmtId="3" fontId="102" fillId="0" borderId="12" xfId="73" applyNumberFormat="1" applyFont="1" applyBorder="1"/>
    <xf numFmtId="39" fontId="98" fillId="0" borderId="12" xfId="73" applyNumberFormat="1" applyFont="1" applyBorder="1"/>
    <xf numFmtId="173" fontId="98" fillId="0" borderId="12" xfId="73" applyNumberFormat="1" applyFont="1" applyBorder="1"/>
    <xf numFmtId="3" fontId="102" fillId="0" borderId="0" xfId="73" applyNumberFormat="1" applyFont="1"/>
    <xf numFmtId="0" fontId="106" fillId="0" borderId="0" xfId="73" applyFont="1" applyAlignment="1"/>
    <xf numFmtId="164" fontId="98" fillId="0" borderId="13" xfId="73" applyNumberFormat="1" applyFont="1" applyBorder="1"/>
    <xf numFmtId="173" fontId="98" fillId="0" borderId="13" xfId="73" applyNumberFormat="1" applyFont="1" applyBorder="1"/>
    <xf numFmtId="173" fontId="98" fillId="0" borderId="0" xfId="73" applyNumberFormat="1" applyFont="1" applyBorder="1"/>
    <xf numFmtId="1" fontId="88" fillId="59" borderId="12" xfId="40" applyNumberFormat="1" applyFont="1" applyFill="1" applyBorder="1" applyAlignment="1" applyProtection="1">
      <alignment vertical="center"/>
      <protection locked="0"/>
    </xf>
    <xf numFmtId="1" fontId="88" fillId="59" borderId="12" xfId="40" applyNumberFormat="1" applyFont="1" applyFill="1" applyBorder="1" applyAlignment="1" applyProtection="1">
      <alignment horizontal="center" vertical="center" wrapText="1"/>
      <protection locked="0"/>
    </xf>
    <xf numFmtId="173" fontId="102" fillId="0" borderId="12" xfId="73" applyNumberFormat="1" applyFont="1" applyBorder="1" applyAlignment="1">
      <alignment horizontal="center" vertical="center"/>
    </xf>
    <xf numFmtId="171" fontId="102" fillId="0" borderId="0" xfId="73" applyNumberFormat="1" applyFont="1"/>
    <xf numFmtId="0" fontId="88" fillId="51" borderId="12" xfId="73" applyFont="1" applyFill="1" applyBorder="1" applyAlignment="1">
      <alignment vertical="center"/>
    </xf>
    <xf numFmtId="0" fontId="95" fillId="51" borderId="12" xfId="73" applyFont="1" applyFill="1" applyBorder="1" applyAlignment="1">
      <alignment horizontal="center" vertical="center" wrapText="1"/>
    </xf>
    <xf numFmtId="0" fontId="88" fillId="50" borderId="12" xfId="73" applyFont="1" applyFill="1" applyBorder="1" applyAlignment="1">
      <alignment vertical="center"/>
    </xf>
    <xf numFmtId="0" fontId="95" fillId="50" borderId="12" xfId="73" applyFont="1" applyFill="1" applyBorder="1" applyAlignment="1">
      <alignment horizontal="center" vertical="center" wrapText="1"/>
    </xf>
    <xf numFmtId="0" fontId="88" fillId="43" borderId="12" xfId="73" applyFont="1" applyFill="1" applyBorder="1" applyAlignment="1">
      <alignment vertical="center"/>
    </xf>
    <xf numFmtId="0" fontId="89" fillId="43" borderId="12" xfId="73" applyFont="1" applyFill="1" applyBorder="1" applyAlignment="1">
      <alignment horizontal="center" vertical="center" wrapText="1"/>
    </xf>
    <xf numFmtId="0" fontId="88" fillId="52" borderId="12" xfId="73" applyFont="1" applyFill="1" applyBorder="1" applyAlignment="1">
      <alignment vertical="center"/>
    </xf>
    <xf numFmtId="0" fontId="102" fillId="52" borderId="12" xfId="73" applyFont="1" applyFill="1" applyBorder="1"/>
    <xf numFmtId="39" fontId="102" fillId="0" borderId="12" xfId="73" applyNumberFormat="1" applyFont="1" applyBorder="1" applyAlignment="1">
      <alignment horizontal="center" vertical="center"/>
    </xf>
    <xf numFmtId="0" fontId="91" fillId="40" borderId="12" xfId="73" applyFont="1" applyFill="1" applyBorder="1" applyAlignment="1">
      <alignment vertical="center"/>
    </xf>
    <xf numFmtId="0" fontId="102" fillId="40" borderId="12" xfId="73" applyFont="1" applyFill="1" applyBorder="1"/>
    <xf numFmtId="0" fontId="88" fillId="47" borderId="12" xfId="73" applyFont="1" applyFill="1" applyBorder="1" applyAlignment="1">
      <alignment vertical="center"/>
    </xf>
    <xf numFmtId="0" fontId="95" fillId="47" borderId="12" xfId="73" applyFont="1" applyFill="1" applyBorder="1" applyAlignment="1">
      <alignment vertical="center"/>
    </xf>
    <xf numFmtId="1" fontId="90" fillId="57" borderId="12" xfId="74" applyNumberFormat="1" applyFont="1" applyFill="1" applyBorder="1" applyAlignment="1" applyProtection="1">
      <alignment vertical="center"/>
      <protection locked="0"/>
    </xf>
    <xf numFmtId="0" fontId="102" fillId="57" borderId="12" xfId="73" applyFont="1" applyFill="1" applyBorder="1"/>
    <xf numFmtId="0" fontId="87" fillId="67" borderId="12" xfId="73" applyFont="1" applyFill="1" applyBorder="1" applyAlignment="1">
      <alignment vertical="center"/>
    </xf>
    <xf numFmtId="0" fontId="102" fillId="67" borderId="12" xfId="73" applyFont="1" applyFill="1" applyBorder="1"/>
    <xf numFmtId="0" fontId="87" fillId="68" borderId="12" xfId="73" applyFont="1" applyFill="1" applyBorder="1" applyAlignment="1">
      <alignment vertical="center"/>
    </xf>
    <xf numFmtId="0" fontId="102" fillId="68" borderId="12" xfId="73" applyFont="1" applyFill="1" applyBorder="1"/>
    <xf numFmtId="0" fontId="88" fillId="69" borderId="12" xfId="73" applyFont="1" applyFill="1" applyBorder="1" applyAlignment="1">
      <alignment vertical="center"/>
    </xf>
    <xf numFmtId="0" fontId="95" fillId="69" borderId="12" xfId="73" applyFont="1" applyFill="1" applyBorder="1" applyAlignment="1">
      <alignment vertical="center"/>
    </xf>
    <xf numFmtId="167" fontId="102" fillId="0" borderId="12" xfId="73" applyNumberFormat="1" applyFont="1" applyBorder="1" applyAlignment="1">
      <alignment horizontal="center" vertical="center"/>
    </xf>
    <xf numFmtId="0" fontId="88" fillId="40" borderId="92" xfId="69" applyFont="1" applyFill="1" applyBorder="1" applyAlignment="1">
      <alignment horizontal="center" vertical="center" wrapText="1"/>
    </xf>
    <xf numFmtId="1" fontId="90" fillId="35" borderId="92" xfId="40" applyNumberFormat="1" applyFont="1" applyFill="1" applyBorder="1" applyAlignment="1" applyProtection="1">
      <alignment horizontal="center" vertical="center" wrapText="1"/>
      <protection locked="0"/>
    </xf>
    <xf numFmtId="0" fontId="94" fillId="24" borderId="60" xfId="73" applyFont="1" applyFill="1" applyBorder="1" applyAlignment="1">
      <alignment horizontal="center"/>
    </xf>
    <xf numFmtId="1" fontId="45" fillId="66" borderId="59" xfId="40" applyNumberFormat="1" applyFont="1" applyFill="1" applyBorder="1" applyAlignment="1" applyProtection="1">
      <alignment horizontal="center" vertical="center" wrapText="1"/>
      <protection locked="0"/>
    </xf>
    <xf numFmtId="0" fontId="87" fillId="0" borderId="0" xfId="77" applyFont="1"/>
    <xf numFmtId="0" fontId="88" fillId="24" borderId="73" xfId="77" applyFont="1" applyFill="1" applyBorder="1" applyAlignment="1">
      <alignment horizontal="center"/>
    </xf>
    <xf numFmtId="0" fontId="98" fillId="0" borderId="0" xfId="77" applyFont="1"/>
    <xf numFmtId="171" fontId="51" fillId="0" borderId="12" xfId="77" applyNumberFormat="1" applyFont="1" applyBorder="1"/>
    <xf numFmtId="3" fontId="51" fillId="0" borderId="12" xfId="77" applyNumberFormat="1" applyFont="1" applyBorder="1"/>
    <xf numFmtId="0" fontId="99" fillId="0" borderId="25" xfId="77" applyFont="1" applyBorder="1" applyAlignment="1">
      <alignment horizontal="left" wrapText="1"/>
    </xf>
    <xf numFmtId="171" fontId="19" fillId="63" borderId="25" xfId="33" applyNumberFormat="1" applyFont="1" applyFill="1" applyBorder="1" applyAlignment="1">
      <alignment horizontal="center" vertical="center"/>
    </xf>
    <xf numFmtId="3" fontId="51" fillId="0" borderId="15" xfId="77" applyNumberFormat="1" applyFont="1" applyBorder="1"/>
    <xf numFmtId="39" fontId="69" fillId="0" borderId="12" xfId="77" applyNumberFormat="1" applyFont="1" applyBorder="1"/>
    <xf numFmtId="37" fontId="51" fillId="0" borderId="12" xfId="77" applyNumberFormat="1" applyFont="1" applyBorder="1"/>
    <xf numFmtId="39" fontId="69" fillId="0" borderId="18" xfId="77" applyNumberFormat="1" applyFont="1" applyBorder="1"/>
    <xf numFmtId="37" fontId="51" fillId="0" borderId="72" xfId="77" applyNumberFormat="1" applyFont="1" applyBorder="1"/>
    <xf numFmtId="39" fontId="69" fillId="0" borderId="13" xfId="77" applyNumberFormat="1" applyFont="1" applyBorder="1"/>
    <xf numFmtId="37" fontId="51" fillId="0" borderId="15" xfId="77" applyNumberFormat="1" applyFont="1" applyBorder="1"/>
    <xf numFmtId="171" fontId="13" fillId="64" borderId="25" xfId="33" applyNumberFormat="1" applyFont="1" applyFill="1" applyBorder="1"/>
    <xf numFmtId="0" fontId="51" fillId="0" borderId="12" xfId="77" applyFont="1" applyBorder="1"/>
    <xf numFmtId="3" fontId="19" fillId="65" borderId="25" xfId="33" applyNumberFormat="1" applyFont="1" applyFill="1" applyBorder="1"/>
    <xf numFmtId="173" fontId="69" fillId="0" borderId="12" xfId="77" applyNumberFormat="1" applyFont="1" applyBorder="1"/>
    <xf numFmtId="173" fontId="69" fillId="0" borderId="18" xfId="77" applyNumberFormat="1" applyFont="1" applyBorder="1"/>
    <xf numFmtId="3" fontId="51" fillId="0" borderId="72" xfId="77" applyNumberFormat="1" applyFont="1" applyBorder="1"/>
    <xf numFmtId="3" fontId="51" fillId="0" borderId="18" xfId="77" applyNumberFormat="1" applyFont="1" applyBorder="1"/>
    <xf numFmtId="177" fontId="51" fillId="0" borderId="18" xfId="77" applyNumberFormat="1" applyFont="1" applyBorder="1"/>
    <xf numFmtId="0" fontId="99" fillId="29" borderId="25" xfId="77" applyFont="1" applyFill="1" applyBorder="1" applyAlignment="1">
      <alignment horizontal="left" wrapText="1"/>
    </xf>
    <xf numFmtId="0" fontId="100" fillId="29" borderId="25" xfId="77" applyFont="1" applyFill="1" applyBorder="1" applyAlignment="1">
      <alignment horizontal="left" wrapText="1"/>
    </xf>
    <xf numFmtId="0" fontId="99" fillId="0" borderId="25" xfId="77" applyFont="1" applyBorder="1" applyAlignment="1">
      <alignment horizontal="left"/>
    </xf>
    <xf numFmtId="0" fontId="99" fillId="29" borderId="28" xfId="77" applyFont="1" applyFill="1" applyBorder="1" applyAlignment="1">
      <alignment horizontal="left" wrapText="1"/>
    </xf>
    <xf numFmtId="171" fontId="19" fillId="63" borderId="28" xfId="33" applyNumberFormat="1" applyFont="1" applyFill="1" applyBorder="1" applyAlignment="1">
      <alignment horizontal="center" vertical="center"/>
    </xf>
    <xf numFmtId="3" fontId="51" fillId="0" borderId="27" xfId="77" applyNumberFormat="1" applyFont="1" applyBorder="1"/>
    <xf numFmtId="39" fontId="69" fillId="0" borderId="14" xfId="77" applyNumberFormat="1" applyFont="1" applyBorder="1"/>
    <xf numFmtId="37" fontId="51" fillId="0" borderId="14" xfId="77" applyNumberFormat="1" applyFont="1" applyBorder="1"/>
    <xf numFmtId="39" fontId="69" fillId="0" borderId="30" xfId="77" applyNumberFormat="1" applyFont="1" applyBorder="1"/>
    <xf numFmtId="37" fontId="51" fillId="0" borderId="76" xfId="77" applyNumberFormat="1" applyFont="1" applyBorder="1"/>
    <xf numFmtId="39" fontId="69" fillId="0" borderId="29" xfId="77" applyNumberFormat="1" applyFont="1" applyBorder="1"/>
    <xf numFmtId="37" fontId="51" fillId="0" borderId="27" xfId="77" applyNumberFormat="1" applyFont="1" applyBorder="1"/>
    <xf numFmtId="3" fontId="51" fillId="0" borderId="14" xfId="77" applyNumberFormat="1" applyFont="1" applyBorder="1"/>
    <xf numFmtId="171" fontId="51" fillId="0" borderId="14" xfId="77" applyNumberFormat="1" applyFont="1" applyBorder="1"/>
    <xf numFmtId="171" fontId="13" fillId="64" borderId="28" xfId="33" applyNumberFormat="1" applyFont="1" applyFill="1" applyBorder="1"/>
    <xf numFmtId="0" fontId="51" fillId="0" borderId="14" xfId="77" applyFont="1" applyBorder="1"/>
    <xf numFmtId="3" fontId="19" fillId="65" borderId="28" xfId="33" applyNumberFormat="1" applyFont="1" applyFill="1" applyBorder="1"/>
    <xf numFmtId="173" fontId="69" fillId="0" borderId="14" xfId="77" applyNumberFormat="1" applyFont="1" applyBorder="1"/>
    <xf numFmtId="173" fontId="69" fillId="0" borderId="30" xfId="77" applyNumberFormat="1" applyFont="1" applyBorder="1"/>
    <xf numFmtId="3" fontId="51" fillId="0" borderId="76" xfId="77" applyNumberFormat="1" applyFont="1" applyBorder="1"/>
    <xf numFmtId="3" fontId="51" fillId="0" borderId="30" xfId="77" applyNumberFormat="1" applyFont="1" applyBorder="1"/>
    <xf numFmtId="177" fontId="51" fillId="0" borderId="30" xfId="77" applyNumberFormat="1" applyFont="1" applyBorder="1"/>
    <xf numFmtId="171" fontId="51" fillId="0" borderId="34" xfId="79" applyNumberFormat="1" applyFont="1" applyBorder="1"/>
    <xf numFmtId="39" fontId="69" fillId="0" borderId="34" xfId="77" applyNumberFormat="1" applyFont="1" applyBorder="1"/>
    <xf numFmtId="171" fontId="69" fillId="64" borderId="34" xfId="79" applyNumberFormat="1" applyFont="1" applyFill="1" applyBorder="1"/>
    <xf numFmtId="171" fontId="69" fillId="65" borderId="34" xfId="79" applyNumberFormat="1" applyFont="1" applyFill="1" applyBorder="1"/>
    <xf numFmtId="173" fontId="69" fillId="0" borderId="34" xfId="77" applyNumberFormat="1" applyFont="1" applyBorder="1"/>
    <xf numFmtId="171" fontId="69" fillId="0" borderId="34" xfId="79" applyNumberFormat="1" applyFont="1" applyBorder="1"/>
    <xf numFmtId="171" fontId="69" fillId="0" borderId="50" xfId="79" applyNumberFormat="1" applyFont="1" applyBorder="1"/>
    <xf numFmtId="171" fontId="69" fillId="0" borderId="58" xfId="79" applyNumberFormat="1" applyFont="1" applyBorder="1"/>
    <xf numFmtId="177" fontId="51" fillId="0" borderId="50" xfId="77" applyNumberFormat="1" applyFont="1" applyBorder="1"/>
    <xf numFmtId="3" fontId="69" fillId="0" borderId="58" xfId="79" applyNumberFormat="1" applyFont="1" applyBorder="1"/>
    <xf numFmtId="167" fontId="101" fillId="0" borderId="0" xfId="77" applyNumberFormat="1" applyFont="1" applyBorder="1"/>
    <xf numFmtId="0" fontId="102" fillId="0" borderId="0" xfId="77" applyFont="1"/>
    <xf numFmtId="0" fontId="97" fillId="0" borderId="0" xfId="77" applyFont="1"/>
    <xf numFmtId="0" fontId="103" fillId="0" borderId="0" xfId="77" applyFont="1"/>
    <xf numFmtId="176" fontId="103" fillId="0" borderId="0" xfId="77" applyNumberFormat="1" applyFont="1"/>
    <xf numFmtId="176" fontId="102" fillId="0" borderId="0" xfId="77" applyNumberFormat="1" applyFont="1"/>
    <xf numFmtId="0" fontId="104" fillId="0" borderId="0" xfId="77" applyFont="1"/>
    <xf numFmtId="178" fontId="104" fillId="0" borderId="0" xfId="77" applyNumberFormat="1" applyFont="1"/>
    <xf numFmtId="0" fontId="105" fillId="0" borderId="0" xfId="77" applyFont="1"/>
    <xf numFmtId="14" fontId="104" fillId="0" borderId="0" xfId="77" applyNumberFormat="1" applyFont="1"/>
    <xf numFmtId="0" fontId="106" fillId="0" borderId="0" xfId="77" applyFont="1"/>
    <xf numFmtId="3" fontId="98" fillId="0" borderId="0" xfId="77" applyNumberFormat="1" applyFont="1"/>
    <xf numFmtId="167" fontId="98" fillId="0" borderId="0" xfId="77" applyNumberFormat="1" applyFont="1"/>
    <xf numFmtId="0" fontId="104" fillId="48" borderId="12" xfId="77" applyFont="1" applyFill="1" applyBorder="1" applyAlignment="1">
      <alignment vertical="center"/>
    </xf>
    <xf numFmtId="2" fontId="105" fillId="0" borderId="0" xfId="80" applyNumberFormat="1" applyFont="1"/>
    <xf numFmtId="0" fontId="109" fillId="0" borderId="0" xfId="77" applyFont="1"/>
    <xf numFmtId="0" fontId="106" fillId="0" borderId="0" xfId="77" applyFont="1" applyAlignment="1"/>
    <xf numFmtId="0" fontId="88" fillId="43" borderId="12" xfId="77" applyFont="1" applyFill="1" applyBorder="1" applyAlignment="1">
      <alignment vertical="center"/>
    </xf>
    <xf numFmtId="2" fontId="102" fillId="0" borderId="12" xfId="77" applyNumberFormat="1" applyFont="1" applyBorder="1" applyAlignment="1">
      <alignment vertical="center"/>
    </xf>
    <xf numFmtId="2" fontId="102" fillId="0" borderId="12" xfId="77" applyNumberFormat="1" applyFont="1" applyBorder="1" applyAlignment="1">
      <alignment horizontal="left" vertical="center"/>
    </xf>
    <xf numFmtId="167" fontId="105" fillId="0" borderId="0" xfId="80" applyNumberFormat="1" applyFont="1"/>
    <xf numFmtId="0" fontId="88" fillId="52" borderId="12" xfId="77" applyFont="1" applyFill="1" applyBorder="1" applyAlignment="1">
      <alignment vertical="center"/>
    </xf>
    <xf numFmtId="0" fontId="102" fillId="0" borderId="12" xfId="77" applyFont="1" applyBorder="1"/>
    <xf numFmtId="0" fontId="110" fillId="0" borderId="0" xfId="77" applyFont="1" applyBorder="1"/>
    <xf numFmtId="0" fontId="110" fillId="0" borderId="0" xfId="77" applyFont="1"/>
    <xf numFmtId="0" fontId="102" fillId="0" borderId="0" xfId="77" applyFont="1" applyBorder="1"/>
    <xf numFmtId="0" fontId="112" fillId="0" borderId="0" xfId="77" applyFont="1"/>
    <xf numFmtId="0" fontId="88" fillId="51" borderId="12" xfId="77" applyFont="1" applyFill="1" applyBorder="1" applyAlignment="1">
      <alignment vertical="center"/>
    </xf>
    <xf numFmtId="2" fontId="102" fillId="0" borderId="0" xfId="77" applyNumberFormat="1" applyFont="1"/>
    <xf numFmtId="0" fontId="88" fillId="50" borderId="12" xfId="77" applyFont="1" applyFill="1" applyBorder="1" applyAlignment="1">
      <alignment vertical="center"/>
    </xf>
    <xf numFmtId="0" fontId="91" fillId="40" borderId="12" xfId="77" applyFont="1" applyFill="1" applyBorder="1" applyAlignment="1">
      <alignment vertical="center"/>
    </xf>
    <xf numFmtId="171" fontId="102" fillId="0" borderId="0" xfId="77" applyNumberFormat="1" applyFont="1"/>
    <xf numFmtId="0" fontId="88" fillId="47" borderId="12" xfId="77" applyFont="1" applyFill="1" applyBorder="1" applyAlignment="1">
      <alignment vertical="center"/>
    </xf>
    <xf numFmtId="173" fontId="98" fillId="0" borderId="0" xfId="77" applyNumberFormat="1" applyFont="1" applyBorder="1"/>
    <xf numFmtId="0" fontId="87" fillId="67" borderId="12" xfId="77" applyFont="1" applyFill="1" applyBorder="1" applyAlignment="1">
      <alignment vertical="center"/>
    </xf>
    <xf numFmtId="1" fontId="90" fillId="57" borderId="12" xfId="78" applyNumberFormat="1" applyFont="1" applyFill="1" applyBorder="1" applyAlignment="1" applyProtection="1">
      <alignment vertical="center"/>
      <protection locked="0"/>
    </xf>
    <xf numFmtId="0" fontId="87" fillId="68" borderId="12" xfId="77" applyFont="1" applyFill="1" applyBorder="1" applyAlignment="1">
      <alignment vertical="center"/>
    </xf>
    <xf numFmtId="0" fontId="88" fillId="69" borderId="12" xfId="77" applyFont="1" applyFill="1" applyBorder="1" applyAlignment="1">
      <alignment vertical="center" wrapText="1"/>
    </xf>
    <xf numFmtId="0" fontId="109" fillId="48" borderId="0" xfId="77" applyFont="1" applyFill="1" applyBorder="1"/>
    <xf numFmtId="39" fontId="114" fillId="48" borderId="0" xfId="77" applyNumberFormat="1" applyFont="1" applyFill="1" applyBorder="1"/>
    <xf numFmtId="39" fontId="115" fillId="48" borderId="0" xfId="77" applyNumberFormat="1" applyFont="1" applyFill="1" applyBorder="1"/>
    <xf numFmtId="3" fontId="116" fillId="48" borderId="0" xfId="77" applyNumberFormat="1" applyFont="1" applyFill="1" applyBorder="1"/>
    <xf numFmtId="39" fontId="117" fillId="48" borderId="0" xfId="77" applyNumberFormat="1" applyFont="1" applyFill="1" applyBorder="1"/>
    <xf numFmtId="3" fontId="117" fillId="48" borderId="0" xfId="77" applyNumberFormat="1" applyFont="1" applyFill="1" applyBorder="1"/>
    <xf numFmtId="173" fontId="117" fillId="48" borderId="0" xfId="77" applyNumberFormat="1" applyFont="1" applyFill="1" applyBorder="1"/>
    <xf numFmtId="177" fontId="118" fillId="48" borderId="0" xfId="77" applyNumberFormat="1" applyFont="1" applyFill="1" applyBorder="1"/>
    <xf numFmtId="0" fontId="117" fillId="48" borderId="0" xfId="77" applyFont="1" applyFill="1" applyBorder="1"/>
    <xf numFmtId="3" fontId="109" fillId="48" borderId="0" xfId="77" applyNumberFormat="1" applyFont="1" applyFill="1" applyBorder="1"/>
    <xf numFmtId="164" fontId="119" fillId="48" borderId="0" xfId="77" applyNumberFormat="1" applyFont="1" applyFill="1" applyBorder="1"/>
    <xf numFmtId="173" fontId="119" fillId="48" borderId="0" xfId="77" applyNumberFormat="1" applyFont="1" applyFill="1" applyBorder="1"/>
    <xf numFmtId="49" fontId="87" fillId="0" borderId="0" xfId="77" applyNumberFormat="1" applyFont="1"/>
    <xf numFmtId="0" fontId="88" fillId="63" borderId="10" xfId="77" applyFont="1" applyFill="1" applyBorder="1" applyAlignment="1">
      <alignment horizontal="center" vertical="center" wrapText="1"/>
    </xf>
    <xf numFmtId="0" fontId="91" fillId="64" borderId="10" xfId="77" quotePrefix="1" applyFont="1" applyFill="1" applyBorder="1" applyAlignment="1">
      <alignment horizontal="center" vertical="center" wrapText="1"/>
    </xf>
    <xf numFmtId="0" fontId="88" fillId="65" borderId="10" xfId="77" applyFont="1" applyFill="1" applyBorder="1" applyAlignment="1">
      <alignment horizontal="center" vertical="center" wrapText="1"/>
    </xf>
    <xf numFmtId="1" fontId="90" fillId="35" borderId="10" xfId="40" applyNumberFormat="1" applyFont="1" applyFill="1" applyBorder="1" applyAlignment="1" applyProtection="1">
      <alignment horizontal="center" vertical="center" wrapText="1"/>
      <protection locked="0"/>
    </xf>
    <xf numFmtId="1" fontId="92" fillId="35" borderId="10" xfId="40" applyNumberFormat="1" applyFont="1" applyFill="1" applyBorder="1" applyAlignment="1" applyProtection="1">
      <alignment horizontal="center" vertical="center" wrapText="1"/>
      <protection locked="0"/>
    </xf>
    <xf numFmtId="0" fontId="92" fillId="35" borderId="10" xfId="40" applyFont="1" applyFill="1" applyBorder="1" applyAlignment="1" applyProtection="1">
      <alignment horizontal="center" vertical="center" wrapText="1"/>
      <protection locked="0"/>
    </xf>
    <xf numFmtId="0" fontId="88" fillId="63" borderId="14" xfId="77" applyFont="1" applyFill="1" applyBorder="1" applyAlignment="1">
      <alignment horizontal="center" vertical="top"/>
    </xf>
    <xf numFmtId="1" fontId="88" fillId="59" borderId="14" xfId="40" applyNumberFormat="1" applyFont="1" applyFill="1" applyBorder="1" applyAlignment="1" applyProtection="1">
      <alignment horizontal="center" vertical="center" wrapText="1"/>
      <protection locked="0"/>
    </xf>
    <xf numFmtId="0" fontId="92" fillId="35" borderId="14" xfId="40" applyFont="1" applyFill="1" applyBorder="1" applyAlignment="1" applyProtection="1">
      <alignment horizontal="center" vertical="center" wrapText="1"/>
      <protection locked="0"/>
    </xf>
    <xf numFmtId="0" fontId="92" fillId="66" borderId="14" xfId="40" applyFont="1" applyFill="1" applyBorder="1" applyAlignment="1" applyProtection="1">
      <alignment horizontal="center" vertical="center" wrapText="1"/>
      <protection locked="0"/>
    </xf>
    <xf numFmtId="0" fontId="87" fillId="0" borderId="0" xfId="81" applyFont="1"/>
    <xf numFmtId="1" fontId="88" fillId="59" borderId="70" xfId="40" applyNumberFormat="1" applyFont="1" applyFill="1" applyBorder="1" applyAlignment="1" applyProtection="1">
      <alignment horizontal="center" vertical="center" wrapText="1"/>
      <protection locked="0"/>
    </xf>
    <xf numFmtId="49" fontId="98" fillId="0" borderId="12" xfId="81" applyNumberFormat="1" applyFont="1" applyBorder="1"/>
    <xf numFmtId="3" fontId="51" fillId="0" borderId="12" xfId="81" applyNumberFormat="1" applyFont="1" applyBorder="1"/>
    <xf numFmtId="39" fontId="69" fillId="0" borderId="12" xfId="81" applyNumberFormat="1" applyFont="1" applyBorder="1"/>
    <xf numFmtId="37" fontId="51" fillId="0" borderId="12" xfId="81" applyNumberFormat="1" applyFont="1" applyBorder="1"/>
    <xf numFmtId="171" fontId="51" fillId="0" borderId="12" xfId="81" applyNumberFormat="1" applyFont="1" applyBorder="1"/>
    <xf numFmtId="171" fontId="13" fillId="64" borderId="12" xfId="33" applyNumberFormat="1" applyFont="1" applyFill="1" applyBorder="1"/>
    <xf numFmtId="0" fontId="51" fillId="0" borderId="12" xfId="81" applyFont="1" applyBorder="1"/>
    <xf numFmtId="177" fontId="51" fillId="0" borderId="12" xfId="81" applyNumberFormat="1" applyFont="1" applyBorder="1"/>
    <xf numFmtId="0" fontId="98" fillId="0" borderId="0" xfId="81" applyFont="1"/>
    <xf numFmtId="39" fontId="98" fillId="0" borderId="0" xfId="81" applyNumberFormat="1" applyFont="1"/>
    <xf numFmtId="0" fontId="100" fillId="24" borderId="58" xfId="81" applyFont="1" applyFill="1" applyBorder="1" applyAlignment="1">
      <alignment horizontal="center"/>
    </xf>
    <xf numFmtId="171" fontId="69" fillId="63" borderId="34" xfId="83" applyNumberFormat="1" applyFont="1" applyFill="1" applyBorder="1" applyAlignment="1">
      <alignment horizontal="center" vertical="center"/>
    </xf>
    <xf numFmtId="171" fontId="51" fillId="0" borderId="34" xfId="83" applyNumberFormat="1" applyFont="1" applyBorder="1"/>
    <xf numFmtId="39" fontId="69" fillId="0" borderId="34" xfId="81" applyNumberFormat="1" applyFont="1" applyBorder="1"/>
    <xf numFmtId="171" fontId="69" fillId="64" borderId="34" xfId="83" applyNumberFormat="1" applyFont="1" applyFill="1" applyBorder="1"/>
    <xf numFmtId="171" fontId="69" fillId="65" borderId="34" xfId="83" applyNumberFormat="1" applyFont="1" applyFill="1" applyBorder="1"/>
    <xf numFmtId="173" fontId="69" fillId="0" borderId="34" xfId="81" applyNumberFormat="1" applyFont="1" applyBorder="1"/>
    <xf numFmtId="171" fontId="69" fillId="0" borderId="34" xfId="83" applyNumberFormat="1" applyFont="1" applyBorder="1"/>
    <xf numFmtId="171" fontId="69" fillId="0" borderId="50" xfId="83" applyNumberFormat="1" applyFont="1" applyBorder="1"/>
    <xf numFmtId="171" fontId="69" fillId="0" borderId="58" xfId="83" applyNumberFormat="1" applyFont="1" applyBorder="1"/>
    <xf numFmtId="177" fontId="51" fillId="0" borderId="50" xfId="81" applyNumberFormat="1" applyFont="1" applyBorder="1"/>
    <xf numFmtId="3" fontId="69" fillId="0" borderId="34" xfId="83" applyNumberFormat="1" applyFont="1" applyBorder="1"/>
    <xf numFmtId="177" fontId="69" fillId="0" borderId="34" xfId="81" applyNumberFormat="1" applyFont="1" applyBorder="1"/>
    <xf numFmtId="3" fontId="69" fillId="0" borderId="59" xfId="83" applyNumberFormat="1" applyFont="1" applyBorder="1"/>
    <xf numFmtId="167" fontId="101" fillId="0" borderId="0" xfId="81" applyNumberFormat="1" applyFont="1" applyBorder="1"/>
    <xf numFmtId="0" fontId="102" fillId="0" borderId="0" xfId="81" applyFont="1"/>
    <xf numFmtId="0" fontId="97" fillId="0" borderId="0" xfId="81" applyFont="1"/>
    <xf numFmtId="0" fontId="103" fillId="0" borderId="0" xfId="81" applyFont="1"/>
    <xf numFmtId="176" fontId="103" fillId="0" borderId="0" xfId="81" applyNumberFormat="1" applyFont="1"/>
    <xf numFmtId="176" fontId="102" fillId="0" borderId="0" xfId="81" applyNumberFormat="1" applyFont="1"/>
    <xf numFmtId="0" fontId="104" fillId="0" borderId="0" xfId="81" applyFont="1"/>
    <xf numFmtId="178" fontId="104" fillId="0" borderId="0" xfId="81" applyNumberFormat="1" applyFont="1"/>
    <xf numFmtId="0" fontId="105" fillId="0" borderId="0" xfId="81" applyFont="1"/>
    <xf numFmtId="14" fontId="104" fillId="0" borderId="0" xfId="81" applyNumberFormat="1" applyFont="1"/>
    <xf numFmtId="0" fontId="106" fillId="0" borderId="0" xfId="81" applyFont="1"/>
    <xf numFmtId="3" fontId="98" fillId="0" borderId="0" xfId="81" applyNumberFormat="1" applyFont="1"/>
    <xf numFmtId="167" fontId="98" fillId="0" borderId="0" xfId="81" applyNumberFormat="1" applyFont="1"/>
    <xf numFmtId="0" fontId="104" fillId="48" borderId="12" xfId="81" applyFont="1" applyFill="1" applyBorder="1" applyAlignment="1">
      <alignment vertical="center"/>
    </xf>
    <xf numFmtId="3" fontId="102" fillId="0" borderId="0" xfId="81" applyNumberFormat="1" applyFont="1"/>
    <xf numFmtId="2" fontId="105" fillId="0" borderId="0" xfId="84" applyNumberFormat="1" applyFont="1"/>
    <xf numFmtId="0" fontId="109" fillId="0" borderId="0" xfId="81" applyFont="1"/>
    <xf numFmtId="0" fontId="102" fillId="0" borderId="12" xfId="81" applyFont="1" applyBorder="1"/>
    <xf numFmtId="0" fontId="110" fillId="0" borderId="0" xfId="81" applyFont="1" applyBorder="1"/>
    <xf numFmtId="0" fontId="110" fillId="0" borderId="0" xfId="81" applyFont="1"/>
    <xf numFmtId="0" fontId="112" fillId="0" borderId="0" xfId="81" applyFont="1"/>
    <xf numFmtId="2" fontId="102" fillId="0" borderId="0" xfId="81" applyNumberFormat="1" applyFont="1"/>
    <xf numFmtId="173" fontId="98" fillId="0" borderId="0" xfId="81" applyNumberFormat="1" applyFont="1" applyBorder="1"/>
    <xf numFmtId="0" fontId="109" fillId="48" borderId="0" xfId="81" applyFont="1" applyFill="1" applyBorder="1"/>
    <xf numFmtId="3" fontId="120" fillId="48" borderId="0" xfId="81" applyNumberFormat="1" applyFont="1" applyFill="1" applyBorder="1"/>
    <xf numFmtId="3" fontId="109" fillId="48" borderId="0" xfId="81" applyNumberFormat="1" applyFont="1" applyFill="1" applyBorder="1"/>
    <xf numFmtId="164" fontId="119" fillId="48" borderId="0" xfId="81" applyNumberFormat="1" applyFont="1" applyFill="1" applyBorder="1"/>
    <xf numFmtId="173" fontId="119" fillId="48" borderId="0" xfId="81" applyNumberFormat="1" applyFont="1" applyFill="1" applyBorder="1"/>
    <xf numFmtId="0" fontId="106" fillId="0" borderId="0" xfId="81" applyFont="1" applyAlignment="1"/>
    <xf numFmtId="0" fontId="88" fillId="43" borderId="12" xfId="81" applyFont="1" applyFill="1" applyBorder="1" applyAlignment="1">
      <alignment vertical="center"/>
    </xf>
    <xf numFmtId="2" fontId="102" fillId="0" borderId="12" xfId="81" applyNumberFormat="1" applyFont="1" applyBorder="1" applyAlignment="1">
      <alignment vertical="center"/>
    </xf>
    <xf numFmtId="0" fontId="88" fillId="52" borderId="12" xfId="81" applyFont="1" applyFill="1" applyBorder="1" applyAlignment="1">
      <alignment vertical="center"/>
    </xf>
    <xf numFmtId="0" fontId="88" fillId="51" borderId="12" xfId="81" applyFont="1" applyFill="1" applyBorder="1" applyAlignment="1">
      <alignment vertical="center"/>
    </xf>
    <xf numFmtId="0" fontId="88" fillId="50" borderId="12" xfId="81" applyFont="1" applyFill="1" applyBorder="1" applyAlignment="1">
      <alignment vertical="center"/>
    </xf>
    <xf numFmtId="0" fontId="91" fillId="40" borderId="12" xfId="81" applyFont="1" applyFill="1" applyBorder="1" applyAlignment="1">
      <alignment vertical="center"/>
    </xf>
    <xf numFmtId="0" fontId="88" fillId="47" borderId="12" xfId="81" applyFont="1" applyFill="1" applyBorder="1" applyAlignment="1">
      <alignment vertical="center"/>
    </xf>
    <xf numFmtId="0" fontId="87" fillId="67" borderId="12" xfId="81" applyFont="1" applyFill="1" applyBorder="1" applyAlignment="1">
      <alignment vertical="center"/>
    </xf>
    <xf numFmtId="1" fontId="90" fillId="57" borderId="12" xfId="82" applyNumberFormat="1" applyFont="1" applyFill="1" applyBorder="1" applyAlignment="1" applyProtection="1">
      <alignment vertical="center"/>
      <protection locked="0"/>
    </xf>
    <xf numFmtId="0" fontId="87" fillId="68" borderId="12" xfId="81" applyFont="1" applyFill="1" applyBorder="1" applyAlignment="1">
      <alignment vertical="center"/>
    </xf>
    <xf numFmtId="0" fontId="88" fillId="69" borderId="12" xfId="81" applyFont="1" applyFill="1" applyBorder="1" applyAlignment="1">
      <alignment vertical="center" wrapText="1"/>
    </xf>
    <xf numFmtId="0" fontId="93" fillId="0" borderId="0" xfId="86" applyFont="1"/>
    <xf numFmtId="0" fontId="95" fillId="24" borderId="12" xfId="86" applyFont="1" applyFill="1" applyBorder="1" applyAlignment="1">
      <alignment horizontal="center" vertical="center"/>
    </xf>
    <xf numFmtId="1" fontId="45" fillId="0" borderId="0" xfId="40" applyNumberFormat="1" applyFont="1" applyFill="1" applyBorder="1" applyAlignment="1" applyProtection="1">
      <alignment horizontal="center" vertical="center" wrapText="1"/>
      <protection locked="0"/>
    </xf>
    <xf numFmtId="49" fontId="98" fillId="0" borderId="0" xfId="86" applyNumberFormat="1" applyFont="1"/>
    <xf numFmtId="0" fontId="99" fillId="0" borderId="12" xfId="86" applyFont="1" applyBorder="1" applyAlignment="1">
      <alignment horizontal="left"/>
    </xf>
    <xf numFmtId="3" fontId="51" fillId="0" borderId="12" xfId="86" applyNumberFormat="1" applyFont="1" applyBorder="1"/>
    <xf numFmtId="39" fontId="69" fillId="0" borderId="12" xfId="86" applyNumberFormat="1" applyFont="1" applyBorder="1"/>
    <xf numFmtId="167" fontId="69" fillId="0" borderId="12" xfId="86" applyNumberFormat="1" applyFont="1" applyBorder="1"/>
    <xf numFmtId="3" fontId="19" fillId="70" borderId="12" xfId="33" applyNumberFormat="1" applyFont="1" applyFill="1" applyBorder="1"/>
    <xf numFmtId="173" fontId="69" fillId="0" borderId="12" xfId="86" applyNumberFormat="1" applyFont="1" applyBorder="1"/>
    <xf numFmtId="3" fontId="51" fillId="71" borderId="12" xfId="86" applyNumberFormat="1" applyFont="1" applyFill="1" applyBorder="1"/>
    <xf numFmtId="177" fontId="69" fillId="0" borderId="12" xfId="86" applyNumberFormat="1" applyFont="1" applyBorder="1"/>
    <xf numFmtId="3" fontId="51" fillId="0" borderId="0" xfId="86" applyNumberFormat="1" applyFont="1" applyBorder="1"/>
    <xf numFmtId="0" fontId="98" fillId="0" borderId="0" xfId="86" applyFont="1"/>
    <xf numFmtId="0" fontId="99" fillId="29" borderId="12" xfId="86" applyFont="1" applyFill="1" applyBorder="1" applyAlignment="1">
      <alignment horizontal="left"/>
    </xf>
    <xf numFmtId="0" fontId="100" fillId="29" borderId="12" xfId="86" applyFont="1" applyFill="1" applyBorder="1" applyAlignment="1">
      <alignment horizontal="left"/>
    </xf>
    <xf numFmtId="0" fontId="99" fillId="0" borderId="12" xfId="86" applyFont="1" applyFill="1" applyBorder="1" applyAlignment="1">
      <alignment horizontal="left"/>
    </xf>
    <xf numFmtId="0" fontId="100" fillId="0" borderId="12" xfId="86" applyFont="1" applyFill="1" applyBorder="1" applyAlignment="1">
      <alignment horizontal="left"/>
    </xf>
    <xf numFmtId="0" fontId="98" fillId="0" borderId="0" xfId="86" applyFont="1" applyFill="1" applyBorder="1"/>
    <xf numFmtId="167" fontId="98" fillId="0" borderId="0" xfId="86" applyNumberFormat="1" applyFont="1"/>
    <xf numFmtId="0" fontId="98" fillId="0" borderId="0" xfId="86" applyFont="1" applyBorder="1"/>
    <xf numFmtId="0" fontId="100" fillId="0" borderId="12" xfId="86" applyFont="1" applyFill="1" applyBorder="1" applyAlignment="1">
      <alignment horizontal="center"/>
    </xf>
    <xf numFmtId="171" fontId="69" fillId="63" borderId="12" xfId="88" applyNumberFormat="1" applyFont="1" applyFill="1" applyBorder="1" applyAlignment="1">
      <alignment horizontal="center" vertical="center"/>
    </xf>
    <xf numFmtId="171" fontId="51" fillId="0" borderId="12" xfId="88" applyNumberFormat="1" applyFont="1" applyBorder="1"/>
    <xf numFmtId="171" fontId="69" fillId="64" borderId="12" xfId="88" applyNumberFormat="1" applyFont="1" applyFill="1" applyBorder="1"/>
    <xf numFmtId="171" fontId="69" fillId="65" borderId="12" xfId="88" applyNumberFormat="1" applyFont="1" applyFill="1" applyBorder="1"/>
    <xf numFmtId="171" fontId="69" fillId="0" borderId="12" xfId="88" applyNumberFormat="1" applyFont="1" applyBorder="1"/>
    <xf numFmtId="171" fontId="69" fillId="71" borderId="12" xfId="88" applyNumberFormat="1" applyFont="1" applyFill="1" applyBorder="1"/>
    <xf numFmtId="3" fontId="69" fillId="0" borderId="12" xfId="88" applyNumberFormat="1" applyFont="1" applyBorder="1"/>
    <xf numFmtId="3" fontId="69" fillId="0" borderId="0" xfId="88" applyNumberFormat="1" applyFont="1" applyBorder="1"/>
    <xf numFmtId="167" fontId="101" fillId="0" borderId="0" xfId="86" applyNumberFormat="1" applyFont="1" applyBorder="1"/>
    <xf numFmtId="0" fontId="102" fillId="0" borderId="0" xfId="86" applyFont="1"/>
    <xf numFmtId="0" fontId="97" fillId="0" borderId="0" xfId="86" applyFont="1" applyFill="1" applyBorder="1"/>
    <xf numFmtId="0" fontId="102" fillId="0" borderId="0" xfId="86" applyFont="1" applyBorder="1"/>
    <xf numFmtId="0" fontId="103" fillId="0" borderId="0" xfId="86" applyFont="1" applyBorder="1"/>
    <xf numFmtId="176" fontId="103" fillId="0" borderId="0" xfId="86" applyNumberFormat="1" applyFont="1" applyBorder="1"/>
    <xf numFmtId="176" fontId="102" fillId="0" borderId="0" xfId="86" applyNumberFormat="1" applyFont="1" applyBorder="1"/>
    <xf numFmtId="0" fontId="104" fillId="0" borderId="0" xfId="86" applyFont="1"/>
    <xf numFmtId="178" fontId="104" fillId="0" borderId="0" xfId="86" applyNumberFormat="1" applyFont="1"/>
    <xf numFmtId="0" fontId="121" fillId="0" borderId="0" xfId="86" applyFont="1"/>
    <xf numFmtId="14" fontId="104" fillId="0" borderId="0" xfId="86" applyNumberFormat="1" applyFont="1"/>
    <xf numFmtId="167" fontId="102" fillId="0" borderId="0" xfId="86" applyNumberFormat="1" applyFont="1"/>
    <xf numFmtId="0" fontId="106" fillId="0" borderId="0" xfId="86" applyFont="1"/>
    <xf numFmtId="14" fontId="104" fillId="0" borderId="0" xfId="86" applyNumberFormat="1" applyFont="1" applyBorder="1"/>
    <xf numFmtId="167" fontId="102" fillId="0" borderId="0" xfId="86" applyNumberFormat="1" applyFont="1" applyBorder="1"/>
    <xf numFmtId="179" fontId="98" fillId="0" borderId="0" xfId="86" applyNumberFormat="1" applyFont="1" applyBorder="1"/>
    <xf numFmtId="3" fontId="98" fillId="0" borderId="0" xfId="86" applyNumberFormat="1" applyFont="1" applyBorder="1"/>
    <xf numFmtId="167" fontId="98" fillId="0" borderId="0" xfId="86" applyNumberFormat="1" applyFont="1" applyBorder="1"/>
    <xf numFmtId="0" fontId="104" fillId="48" borderId="12" xfId="86" applyFont="1" applyFill="1" applyBorder="1" applyAlignment="1">
      <alignment vertical="center"/>
    </xf>
    <xf numFmtId="3" fontId="102" fillId="0" borderId="0" xfId="86" applyNumberFormat="1" applyFont="1"/>
    <xf numFmtId="171" fontId="102" fillId="0" borderId="0" xfId="86" applyNumberFormat="1" applyFont="1"/>
    <xf numFmtId="173" fontId="102" fillId="0" borderId="0" xfId="86" applyNumberFormat="1" applyFont="1"/>
    <xf numFmtId="2" fontId="105" fillId="0" borderId="0" xfId="89" applyNumberFormat="1" applyFont="1"/>
    <xf numFmtId="0" fontId="109" fillId="0" borderId="0" xfId="86" applyFont="1"/>
    <xf numFmtId="2" fontId="122" fillId="0" borderId="0" xfId="86" applyNumberFormat="1" applyFont="1"/>
    <xf numFmtId="0" fontId="122" fillId="0" borderId="0" xfId="86" applyFont="1"/>
    <xf numFmtId="0" fontId="106" fillId="0" borderId="0" xfId="86" applyFont="1" applyAlignment="1"/>
    <xf numFmtId="0" fontId="123" fillId="43" borderId="18" xfId="86" applyFont="1" applyFill="1" applyBorder="1" applyAlignment="1">
      <alignment vertical="center"/>
    </xf>
    <xf numFmtId="2" fontId="102" fillId="0" borderId="12" xfId="86" applyNumberFormat="1" applyFont="1" applyBorder="1" applyAlignment="1">
      <alignment horizontal="center" vertical="center"/>
    </xf>
    <xf numFmtId="2" fontId="102" fillId="0" borderId="0" xfId="86" applyNumberFormat="1" applyFont="1" applyBorder="1" applyAlignment="1">
      <alignment horizontal="center" vertical="center"/>
    </xf>
    <xf numFmtId="167" fontId="105" fillId="0" borderId="0" xfId="89" applyNumberFormat="1" applyFont="1"/>
    <xf numFmtId="0" fontId="123" fillId="52" borderId="18" xfId="86" applyFont="1" applyFill="1" applyBorder="1" applyAlignment="1">
      <alignment vertical="center"/>
    </xf>
    <xf numFmtId="0" fontId="102" fillId="0" borderId="12" xfId="86" applyFont="1" applyBorder="1"/>
    <xf numFmtId="0" fontId="110" fillId="0" borderId="0" xfId="86" applyFont="1" applyBorder="1"/>
    <xf numFmtId="0" fontId="110" fillId="0" borderId="0" xfId="86" applyFont="1"/>
    <xf numFmtId="1" fontId="123" fillId="59" borderId="18" xfId="40" applyNumberFormat="1" applyFont="1" applyFill="1" applyBorder="1" applyAlignment="1" applyProtection="1">
      <alignment vertical="center" wrapText="1"/>
      <protection locked="0"/>
    </xf>
    <xf numFmtId="0" fontId="112" fillId="0" borderId="0" xfId="86" applyFont="1"/>
    <xf numFmtId="0" fontId="123" fillId="51" borderId="18" xfId="86" applyFont="1" applyFill="1" applyBorder="1" applyAlignment="1">
      <alignment vertical="center" wrapText="1"/>
    </xf>
    <xf numFmtId="2" fontId="102" fillId="0" borderId="0" xfId="86" applyNumberFormat="1" applyFont="1"/>
    <xf numFmtId="0" fontId="123" fillId="50" borderId="18" xfId="86" applyFont="1" applyFill="1" applyBorder="1" applyAlignment="1">
      <alignment vertical="center"/>
    </xf>
    <xf numFmtId="0" fontId="87" fillId="38" borderId="12" xfId="86" applyFont="1" applyFill="1" applyBorder="1" applyAlignment="1">
      <alignment vertical="center" wrapText="1"/>
    </xf>
    <xf numFmtId="39" fontId="102" fillId="0" borderId="12" xfId="86" applyNumberFormat="1" applyFont="1" applyBorder="1" applyAlignment="1">
      <alignment horizontal="center"/>
    </xf>
    <xf numFmtId="39" fontId="102" fillId="0" borderId="0" xfId="86" applyNumberFormat="1" applyFont="1" applyBorder="1" applyAlignment="1">
      <alignment horizontal="center"/>
    </xf>
    <xf numFmtId="171" fontId="102" fillId="0" borderId="0" xfId="86" applyNumberFormat="1" applyFont="1" applyBorder="1"/>
    <xf numFmtId="0" fontId="87" fillId="49" borderId="12" xfId="86" applyFont="1" applyFill="1" applyBorder="1" applyAlignment="1">
      <alignment vertical="center" wrapText="1"/>
    </xf>
    <xf numFmtId="164" fontId="98" fillId="0" borderId="13" xfId="86" applyNumberFormat="1" applyFont="1" applyBorder="1"/>
    <xf numFmtId="173" fontId="98" fillId="0" borderId="0" xfId="86" applyNumberFormat="1" applyFont="1" applyBorder="1"/>
    <xf numFmtId="0" fontId="124" fillId="40" borderId="18" xfId="86" applyFont="1" applyFill="1" applyBorder="1" applyAlignment="1">
      <alignment vertical="center"/>
    </xf>
    <xf numFmtId="0" fontId="123" fillId="47" borderId="18" xfId="86" applyFont="1" applyFill="1" applyBorder="1" applyAlignment="1">
      <alignment vertical="center"/>
    </xf>
    <xf numFmtId="0" fontId="87" fillId="67" borderId="18" xfId="86" applyFont="1" applyFill="1" applyBorder="1" applyAlignment="1">
      <alignment vertical="center"/>
    </xf>
    <xf numFmtId="1" fontId="125" fillId="57" borderId="18" xfId="87" applyNumberFormat="1" applyFont="1" applyFill="1" applyBorder="1" applyAlignment="1" applyProtection="1">
      <alignment vertical="center"/>
      <protection locked="0"/>
    </xf>
    <xf numFmtId="0" fontId="123" fillId="60" borderId="34" xfId="86" quotePrefix="1" applyFont="1" applyFill="1" applyBorder="1" applyAlignment="1">
      <alignment horizontal="center" vertical="center" wrapText="1"/>
    </xf>
    <xf numFmtId="0" fontId="87" fillId="39" borderId="0" xfId="86" applyFont="1" applyFill="1"/>
    <xf numFmtId="0" fontId="87" fillId="68" borderId="18" xfId="86" applyFont="1" applyFill="1" applyBorder="1" applyAlignment="1">
      <alignment vertical="center"/>
    </xf>
    <xf numFmtId="173" fontId="102" fillId="0" borderId="0" xfId="86" applyNumberFormat="1" applyFont="1" applyBorder="1" applyAlignment="1">
      <alignment horizontal="center"/>
    </xf>
    <xf numFmtId="0" fontId="123" fillId="69" borderId="18" xfId="86" applyFont="1" applyFill="1" applyBorder="1" applyAlignment="1">
      <alignment vertical="center"/>
    </xf>
    <xf numFmtId="2" fontId="102" fillId="0" borderId="0" xfId="86" applyNumberFormat="1" applyFont="1" applyBorder="1" applyAlignment="1">
      <alignment vertical="center"/>
    </xf>
    <xf numFmtId="2" fontId="102" fillId="0" borderId="0" xfId="86" applyNumberFormat="1" applyFont="1" applyBorder="1" applyAlignment="1">
      <alignment horizontal="left" vertical="center"/>
    </xf>
    <xf numFmtId="0" fontId="109" fillId="48" borderId="0" xfId="86" applyFont="1" applyFill="1" applyBorder="1"/>
    <xf numFmtId="39" fontId="114" fillId="48" borderId="0" xfId="86" applyNumberFormat="1" applyFont="1" applyFill="1" applyBorder="1"/>
    <xf numFmtId="0" fontId="126" fillId="48" borderId="0" xfId="86" applyFont="1" applyFill="1" applyBorder="1"/>
    <xf numFmtId="39" fontId="115" fillId="48" borderId="0" xfId="86" applyNumberFormat="1" applyFont="1" applyFill="1" applyBorder="1"/>
    <xf numFmtId="3" fontId="116" fillId="48" borderId="0" xfId="86" applyNumberFormat="1" applyFont="1" applyFill="1" applyBorder="1"/>
    <xf numFmtId="39" fontId="117" fillId="48" borderId="0" xfId="86" applyNumberFormat="1" applyFont="1" applyFill="1" applyBorder="1"/>
    <xf numFmtId="3" fontId="117" fillId="48" borderId="0" xfId="86" applyNumberFormat="1" applyFont="1" applyFill="1" applyBorder="1"/>
    <xf numFmtId="173" fontId="117" fillId="48" borderId="0" xfId="86" applyNumberFormat="1" applyFont="1" applyFill="1" applyBorder="1"/>
    <xf numFmtId="177" fontId="118" fillId="48" borderId="0" xfId="86" applyNumberFormat="1" applyFont="1" applyFill="1" applyBorder="1"/>
    <xf numFmtId="0" fontId="117" fillId="48" borderId="0" xfId="86" applyFont="1" applyFill="1" applyBorder="1"/>
    <xf numFmtId="173" fontId="119" fillId="48" borderId="0" xfId="86" applyNumberFormat="1" applyFont="1" applyFill="1" applyBorder="1"/>
    <xf numFmtId="39" fontId="102" fillId="0" borderId="0" xfId="86" applyNumberFormat="1" applyFont="1"/>
    <xf numFmtId="0" fontId="88" fillId="40" borderId="10" xfId="69" applyFont="1" applyFill="1" applyBorder="1" applyAlignment="1">
      <alignment horizontal="center" vertical="center" wrapText="1"/>
    </xf>
    <xf numFmtId="0" fontId="88" fillId="51" borderId="14" xfId="77" applyFont="1" applyFill="1" applyBorder="1" applyAlignment="1">
      <alignment horizontal="center" vertical="center"/>
    </xf>
    <xf numFmtId="0" fontId="88" fillId="50" borderId="14" xfId="77" applyFont="1" applyFill="1" applyBorder="1" applyAlignment="1">
      <alignment horizontal="center" vertical="center" wrapText="1"/>
    </xf>
    <xf numFmtId="0" fontId="91" fillId="38" borderId="14" xfId="77" applyFont="1" applyFill="1" applyBorder="1" applyAlignment="1">
      <alignment horizontal="center" vertical="center" wrapText="1"/>
    </xf>
    <xf numFmtId="0" fontId="88" fillId="49" borderId="14" xfId="77" applyFont="1" applyFill="1" applyBorder="1" applyAlignment="1">
      <alignment horizontal="center" vertical="center" wrapText="1"/>
    </xf>
    <xf numFmtId="0" fontId="91" fillId="40" borderId="14" xfId="77" applyFont="1" applyFill="1" applyBorder="1" applyAlignment="1">
      <alignment horizontal="center" vertical="center" wrapText="1"/>
    </xf>
    <xf numFmtId="0" fontId="91" fillId="40" borderId="14" xfId="77" applyFont="1" applyFill="1" applyBorder="1" applyAlignment="1">
      <alignment horizontal="center" vertical="center"/>
    </xf>
    <xf numFmtId="0" fontId="88" fillId="47" borderId="14" xfId="77" quotePrefix="1" applyFont="1" applyFill="1" applyBorder="1" applyAlignment="1">
      <alignment horizontal="center" vertical="center"/>
    </xf>
    <xf numFmtId="0" fontId="88" fillId="60" borderId="14" xfId="77" quotePrefix="1" applyFont="1" applyFill="1" applyBorder="1" applyAlignment="1">
      <alignment horizontal="center" vertical="center"/>
    </xf>
    <xf numFmtId="0" fontId="88" fillId="39" borderId="14" xfId="77" quotePrefix="1" applyFont="1" applyFill="1" applyBorder="1" applyAlignment="1">
      <alignment horizontal="center" vertical="center"/>
    </xf>
    <xf numFmtId="1" fontId="90" fillId="57" borderId="14" xfId="78" applyNumberFormat="1" applyFont="1" applyFill="1" applyBorder="1" applyAlignment="1" applyProtection="1">
      <alignment horizontal="center" vertical="center" wrapText="1"/>
      <protection locked="0"/>
    </xf>
    <xf numFmtId="0" fontId="88" fillId="30" borderId="14" xfId="77" applyFont="1" applyFill="1" applyBorder="1" applyAlignment="1">
      <alignment horizontal="center" vertical="center" wrapText="1"/>
    </xf>
    <xf numFmtId="0" fontId="88" fillId="41" borderId="14" xfId="77" applyFont="1" applyFill="1" applyBorder="1" applyAlignment="1">
      <alignment horizontal="center" vertical="center" wrapText="1"/>
    </xf>
    <xf numFmtId="0" fontId="127" fillId="24" borderId="76" xfId="77" applyFont="1" applyFill="1" applyBorder="1" applyAlignment="1">
      <alignment horizontal="center"/>
    </xf>
    <xf numFmtId="0" fontId="88" fillId="43" borderId="14" xfId="77" applyFont="1" applyFill="1" applyBorder="1" applyAlignment="1">
      <alignment horizontal="center" vertical="center" wrapText="1"/>
    </xf>
    <xf numFmtId="0" fontId="88" fillId="0" borderId="14" xfId="77" applyFont="1" applyBorder="1" applyAlignment="1">
      <alignment horizontal="center" vertical="center"/>
    </xf>
    <xf numFmtId="0" fontId="88" fillId="52" borderId="14" xfId="77" applyFont="1" applyFill="1" applyBorder="1" applyAlignment="1">
      <alignment horizontal="center" vertical="center"/>
    </xf>
    <xf numFmtId="0" fontId="91" fillId="64" borderId="14" xfId="77" applyFont="1" applyFill="1" applyBorder="1" applyAlignment="1">
      <alignment horizontal="center"/>
    </xf>
    <xf numFmtId="0" fontId="88" fillId="0" borderId="14" xfId="77" applyFont="1" applyFill="1" applyBorder="1" applyAlignment="1">
      <alignment horizontal="center" vertical="center" wrapText="1"/>
    </xf>
    <xf numFmtId="0" fontId="88" fillId="65" borderId="14" xfId="40" applyFont="1" applyFill="1" applyBorder="1" applyAlignment="1">
      <alignment horizontal="center" vertical="center"/>
    </xf>
    <xf numFmtId="0" fontId="88" fillId="47" borderId="14" xfId="77" applyFont="1" applyFill="1" applyBorder="1" applyAlignment="1">
      <alignment horizontal="center" vertical="center" wrapText="1"/>
    </xf>
    <xf numFmtId="0" fontId="90" fillId="35" borderId="14" xfId="40" applyFont="1" applyFill="1" applyBorder="1" applyAlignment="1" applyProtection="1">
      <alignment horizontal="center" vertical="center" wrapText="1"/>
      <protection locked="0"/>
    </xf>
    <xf numFmtId="0" fontId="90" fillId="66" borderId="14" xfId="40" applyFont="1" applyFill="1" applyBorder="1" applyAlignment="1" applyProtection="1">
      <alignment horizontal="center" vertical="center" wrapText="1"/>
      <protection locked="0"/>
    </xf>
    <xf numFmtId="1" fontId="64" fillId="66" borderId="14" xfId="40" applyNumberFormat="1" applyFont="1" applyFill="1" applyBorder="1" applyAlignment="1" applyProtection="1">
      <alignment horizontal="center" vertical="center" wrapText="1"/>
      <protection locked="0"/>
    </xf>
    <xf numFmtId="1" fontId="64" fillId="0" borderId="14" xfId="40" applyNumberFormat="1" applyFont="1" applyFill="1" applyBorder="1" applyAlignment="1" applyProtection="1">
      <alignment horizontal="center" vertical="center" wrapText="1"/>
      <protection locked="0"/>
    </xf>
    <xf numFmtId="1" fontId="64" fillId="0" borderId="29" xfId="40" applyNumberFormat="1" applyFont="1" applyFill="1" applyBorder="1" applyAlignment="1" applyProtection="1">
      <alignment horizontal="center" vertical="center" wrapText="1"/>
      <protection locked="0"/>
    </xf>
    <xf numFmtId="0" fontId="99" fillId="0" borderId="24" xfId="77" applyFont="1" applyBorder="1" applyAlignment="1">
      <alignment horizontal="left" wrapText="1"/>
    </xf>
    <xf numFmtId="171" fontId="19" fillId="63" borderId="24" xfId="33" applyNumberFormat="1" applyFont="1" applyFill="1" applyBorder="1" applyAlignment="1">
      <alignment horizontal="center" vertical="center"/>
    </xf>
    <xf numFmtId="3" fontId="51" fillId="0" borderId="26" xfId="77" applyNumberFormat="1" applyFont="1" applyBorder="1"/>
    <xf numFmtId="39" fontId="69" fillId="0" borderId="10" xfId="77" applyNumberFormat="1" applyFont="1" applyBorder="1"/>
    <xf numFmtId="37" fontId="51" fillId="0" borderId="10" xfId="77" applyNumberFormat="1" applyFont="1" applyBorder="1"/>
    <xf numFmtId="39" fontId="69" fillId="0" borderId="17" xfId="77" applyNumberFormat="1" applyFont="1" applyBorder="1"/>
    <xf numFmtId="37" fontId="51" fillId="0" borderId="73" xfId="77" applyNumberFormat="1" applyFont="1" applyBorder="1"/>
    <xf numFmtId="39" fontId="69" fillId="0" borderId="11" xfId="77" applyNumberFormat="1" applyFont="1" applyBorder="1"/>
    <xf numFmtId="37" fontId="51" fillId="0" borderId="26" xfId="77" applyNumberFormat="1" applyFont="1" applyBorder="1"/>
    <xf numFmtId="3" fontId="51" fillId="0" borderId="10" xfId="77" applyNumberFormat="1" applyFont="1" applyBorder="1"/>
    <xf numFmtId="171" fontId="51" fillId="0" borderId="10" xfId="77" applyNumberFormat="1" applyFont="1" applyBorder="1"/>
    <xf numFmtId="171" fontId="13" fillId="64" borderId="24" xfId="33" applyNumberFormat="1" applyFont="1" applyFill="1" applyBorder="1"/>
    <xf numFmtId="37" fontId="51" fillId="0" borderId="92" xfId="77" applyNumberFormat="1" applyFont="1" applyBorder="1"/>
    <xf numFmtId="39" fontId="69" fillId="0" borderId="92" xfId="77" applyNumberFormat="1" applyFont="1" applyBorder="1"/>
    <xf numFmtId="0" fontId="51" fillId="0" borderId="10" xfId="77" applyFont="1" applyBorder="1"/>
    <xf numFmtId="3" fontId="19" fillId="65" borderId="20" xfId="33" applyNumberFormat="1" applyFont="1" applyFill="1" applyBorder="1"/>
    <xf numFmtId="173" fontId="69" fillId="0" borderId="10" xfId="77" applyNumberFormat="1" applyFont="1" applyBorder="1"/>
    <xf numFmtId="173" fontId="69" fillId="0" borderId="17" xfId="77" applyNumberFormat="1" applyFont="1" applyBorder="1"/>
    <xf numFmtId="3" fontId="51" fillId="0" borderId="73" xfId="77" applyNumberFormat="1" applyFont="1" applyBorder="1"/>
    <xf numFmtId="3" fontId="51" fillId="0" borderId="17" xfId="77" applyNumberFormat="1" applyFont="1" applyBorder="1"/>
    <xf numFmtId="177" fontId="51" fillId="0" borderId="17" xfId="77" applyNumberFormat="1" applyFont="1" applyBorder="1"/>
    <xf numFmtId="3" fontId="51" fillId="0" borderId="11" xfId="77" applyNumberFormat="1" applyFont="1" applyBorder="1"/>
    <xf numFmtId="3" fontId="51" fillId="0" borderId="13" xfId="77" applyNumberFormat="1" applyFont="1" applyBorder="1"/>
    <xf numFmtId="3" fontId="51" fillId="0" borderId="29" xfId="77" applyNumberFormat="1" applyFont="1" applyBorder="1"/>
    <xf numFmtId="0" fontId="100" fillId="24" borderId="21" xfId="77" applyFont="1" applyFill="1" applyBorder="1" applyAlignment="1">
      <alignment horizontal="center"/>
    </xf>
    <xf numFmtId="171" fontId="69" fillId="63" borderId="58" xfId="79" applyNumberFormat="1" applyFont="1" applyFill="1" applyBorder="1" applyAlignment="1">
      <alignment horizontal="center" vertical="center"/>
    </xf>
    <xf numFmtId="3" fontId="69" fillId="0" borderId="16" xfId="79" applyNumberFormat="1" applyFont="1" applyBorder="1"/>
    <xf numFmtId="0" fontId="88" fillId="0" borderId="70" xfId="81" applyFont="1" applyFill="1" applyBorder="1" applyAlignment="1">
      <alignment horizontal="center" vertical="center" wrapText="1"/>
    </xf>
    <xf numFmtId="0" fontId="90" fillId="35" borderId="70" xfId="40" applyFont="1" applyFill="1" applyBorder="1" applyAlignment="1" applyProtection="1">
      <alignment horizontal="center" vertical="center" wrapText="1"/>
      <protection locked="0"/>
    </xf>
    <xf numFmtId="1" fontId="64" fillId="0" borderId="70" xfId="40" applyNumberFormat="1" applyFont="1" applyFill="1" applyBorder="1" applyAlignment="1" applyProtection="1">
      <alignment horizontal="center" vertical="center" wrapText="1"/>
      <protection locked="0"/>
    </xf>
    <xf numFmtId="0" fontId="88" fillId="43" borderId="70" xfId="81" applyFont="1" applyFill="1" applyBorder="1" applyAlignment="1">
      <alignment horizontal="center" vertical="center" wrapText="1"/>
    </xf>
    <xf numFmtId="0" fontId="88" fillId="0" borderId="70" xfId="81" applyFont="1" applyBorder="1" applyAlignment="1">
      <alignment horizontal="center" vertical="center" wrapText="1"/>
    </xf>
    <xf numFmtId="0" fontId="88" fillId="52" borderId="70" xfId="81" applyFont="1" applyFill="1" applyBorder="1" applyAlignment="1">
      <alignment horizontal="center" vertical="center" wrapText="1"/>
    </xf>
    <xf numFmtId="0" fontId="88" fillId="50" borderId="70" xfId="81" applyFont="1" applyFill="1" applyBorder="1" applyAlignment="1">
      <alignment horizontal="center" vertical="center" wrapText="1"/>
    </xf>
    <xf numFmtId="0" fontId="91" fillId="38" borderId="70" xfId="81" applyFont="1" applyFill="1" applyBorder="1" applyAlignment="1">
      <alignment horizontal="center" vertical="center" wrapText="1"/>
    </xf>
    <xf numFmtId="0" fontId="88" fillId="49" borderId="70" xfId="81" applyFont="1" applyFill="1" applyBorder="1" applyAlignment="1">
      <alignment horizontal="center" vertical="center" wrapText="1"/>
    </xf>
    <xf numFmtId="0" fontId="91" fillId="40" borderId="70" xfId="81" applyFont="1" applyFill="1" applyBorder="1" applyAlignment="1">
      <alignment horizontal="center" vertical="center" wrapText="1"/>
    </xf>
    <xf numFmtId="0" fontId="88" fillId="47" borderId="70" xfId="81" quotePrefix="1" applyFont="1" applyFill="1" applyBorder="1" applyAlignment="1">
      <alignment horizontal="center" vertical="center" wrapText="1"/>
    </xf>
    <xf numFmtId="0" fontId="106" fillId="0" borderId="0" xfId="77" applyFont="1" applyBorder="1"/>
    <xf numFmtId="0" fontId="103" fillId="0" borderId="0" xfId="77" applyFont="1" applyBorder="1"/>
    <xf numFmtId="3" fontId="103" fillId="0" borderId="0" xfId="77" applyNumberFormat="1" applyFont="1" applyBorder="1"/>
    <xf numFmtId="3" fontId="106" fillId="0" borderId="0" xfId="77" applyNumberFormat="1" applyFont="1" applyBorder="1"/>
    <xf numFmtId="3" fontId="104" fillId="0" borderId="0" xfId="77" applyNumberFormat="1" applyFont="1" applyBorder="1"/>
    <xf numFmtId="3" fontId="102" fillId="0" borderId="0" xfId="77" applyNumberFormat="1" applyFont="1" applyBorder="1"/>
    <xf numFmtId="173" fontId="101" fillId="0" borderId="0" xfId="77" applyNumberFormat="1" applyFont="1" applyBorder="1"/>
    <xf numFmtId="0" fontId="106" fillId="0" borderId="0" xfId="81" applyFont="1" applyBorder="1"/>
    <xf numFmtId="0" fontId="102" fillId="0" borderId="0" xfId="81" applyFont="1" applyBorder="1"/>
    <xf numFmtId="171" fontId="102" fillId="0" borderId="0" xfId="81" applyNumberFormat="1" applyFont="1" applyBorder="1"/>
    <xf numFmtId="0" fontId="103" fillId="0" borderId="0" xfId="81" applyFont="1" applyBorder="1"/>
    <xf numFmtId="3" fontId="103" fillId="0" borderId="0" xfId="81" applyNumberFormat="1" applyFont="1" applyBorder="1"/>
    <xf numFmtId="3" fontId="106" fillId="0" borderId="0" xfId="81" applyNumberFormat="1" applyFont="1" applyBorder="1"/>
    <xf numFmtId="3" fontId="104" fillId="0" borderId="0" xfId="81" applyNumberFormat="1" applyFont="1" applyBorder="1"/>
    <xf numFmtId="3" fontId="102" fillId="0" borderId="0" xfId="81" applyNumberFormat="1" applyFont="1" applyBorder="1"/>
    <xf numFmtId="173" fontId="101" fillId="0" borderId="0" xfId="81" applyNumberFormat="1" applyFont="1" applyBorder="1"/>
    <xf numFmtId="0" fontId="109" fillId="0" borderId="0" xfId="81" applyFont="1" applyFill="1" applyBorder="1"/>
    <xf numFmtId="39" fontId="114" fillId="0" borderId="0" xfId="81" applyNumberFormat="1" applyFont="1" applyFill="1" applyBorder="1"/>
    <xf numFmtId="39" fontId="115" fillId="0" borderId="0" xfId="81" applyNumberFormat="1" applyFont="1" applyFill="1" applyBorder="1"/>
    <xf numFmtId="0" fontId="102" fillId="0" borderId="0" xfId="81" applyFont="1" applyFill="1" applyBorder="1"/>
    <xf numFmtId="3" fontId="120" fillId="0" borderId="0" xfId="81" applyNumberFormat="1" applyFont="1" applyFill="1" applyBorder="1"/>
    <xf numFmtId="39" fontId="117" fillId="0" borderId="0" xfId="81" applyNumberFormat="1" applyFont="1" applyFill="1" applyBorder="1"/>
    <xf numFmtId="3" fontId="117" fillId="0" borderId="0" xfId="81" applyNumberFormat="1" applyFont="1" applyFill="1" applyBorder="1"/>
    <xf numFmtId="173" fontId="117" fillId="0" borderId="0" xfId="81" applyNumberFormat="1" applyFont="1" applyFill="1" applyBorder="1"/>
    <xf numFmtId="177" fontId="118" fillId="0" borderId="0" xfId="81" applyNumberFormat="1" applyFont="1" applyFill="1" applyBorder="1"/>
    <xf numFmtId="0" fontId="117" fillId="0" borderId="0" xfId="81" applyFont="1" applyFill="1" applyBorder="1"/>
    <xf numFmtId="2" fontId="102" fillId="0" borderId="0" xfId="81" applyNumberFormat="1" applyFont="1" applyFill="1" applyBorder="1" applyAlignment="1">
      <alignment horizontal="left" vertical="center"/>
    </xf>
    <xf numFmtId="164" fontId="98" fillId="0" borderId="0" xfId="81" applyNumberFormat="1" applyFont="1" applyBorder="1"/>
    <xf numFmtId="0" fontId="102" fillId="0" borderId="0" xfId="86" applyFont="1" applyFill="1" applyBorder="1"/>
    <xf numFmtId="171" fontId="102" fillId="0" borderId="0" xfId="86" applyNumberFormat="1" applyFont="1" applyFill="1" applyBorder="1"/>
    <xf numFmtId="0" fontId="109" fillId="0" borderId="0" xfId="86" applyFont="1" applyFill="1" applyBorder="1"/>
    <xf numFmtId="3" fontId="116" fillId="0" borderId="0" xfId="86" applyNumberFormat="1" applyFont="1" applyFill="1" applyBorder="1"/>
    <xf numFmtId="3" fontId="109" fillId="0" borderId="0" xfId="86" applyNumberFormat="1" applyFont="1" applyFill="1" applyBorder="1"/>
    <xf numFmtId="0" fontId="106" fillId="0" borderId="0" xfId="86" applyFont="1" applyFill="1" applyBorder="1"/>
    <xf numFmtId="0" fontId="103" fillId="0" borderId="0" xfId="86" applyFont="1" applyFill="1" applyBorder="1"/>
    <xf numFmtId="3" fontId="103" fillId="0" borderId="0" xfId="86" applyNumberFormat="1" applyFont="1" applyFill="1" applyBorder="1"/>
    <xf numFmtId="3" fontId="106" fillId="0" borderId="0" xfId="86" applyNumberFormat="1" applyFont="1" applyFill="1" applyBorder="1"/>
    <xf numFmtId="3" fontId="104" fillId="0" borderId="0" xfId="86" applyNumberFormat="1" applyFont="1" applyFill="1" applyBorder="1"/>
    <xf numFmtId="39" fontId="114" fillId="0" borderId="0" xfId="86" applyNumberFormat="1" applyFont="1" applyFill="1" applyBorder="1"/>
    <xf numFmtId="3" fontId="117" fillId="0" borderId="0" xfId="86" applyNumberFormat="1" applyFont="1" applyFill="1" applyBorder="1"/>
    <xf numFmtId="39" fontId="117" fillId="0" borderId="0" xfId="86" applyNumberFormat="1" applyFont="1" applyFill="1" applyBorder="1"/>
    <xf numFmtId="164" fontId="119" fillId="0" borderId="0" xfId="86" applyNumberFormat="1" applyFont="1" applyFill="1" applyBorder="1"/>
    <xf numFmtId="173" fontId="98" fillId="0" borderId="0" xfId="86" applyNumberFormat="1" applyFont="1" applyFill="1" applyBorder="1"/>
    <xf numFmtId="3" fontId="102" fillId="0" borderId="0" xfId="86" applyNumberFormat="1" applyFont="1" applyFill="1" applyBorder="1"/>
    <xf numFmtId="173" fontId="101" fillId="0" borderId="0" xfId="86" applyNumberFormat="1" applyFont="1" applyFill="1" applyBorder="1"/>
    <xf numFmtId="0" fontId="88" fillId="63" borderId="18" xfId="86" applyFont="1" applyFill="1" applyBorder="1" applyAlignment="1">
      <alignment horizontal="center" vertical="center" wrapText="1"/>
    </xf>
    <xf numFmtId="0" fontId="96" fillId="64" borderId="10" xfId="41" quotePrefix="1" applyFont="1" applyFill="1" applyBorder="1" applyAlignment="1">
      <alignment horizontal="center" wrapText="1"/>
    </xf>
    <xf numFmtId="0" fontId="95" fillId="70" borderId="10" xfId="0" applyFont="1" applyFill="1" applyBorder="1" applyAlignment="1">
      <alignment horizontal="center" wrapText="1"/>
    </xf>
    <xf numFmtId="1" fontId="129" fillId="35" borderId="10" xfId="0" applyNumberFormat="1" applyFont="1" applyFill="1" applyBorder="1" applyAlignment="1" applyProtection="1">
      <alignment horizontal="center" vertical="center" wrapText="1"/>
      <protection locked="0"/>
    </xf>
    <xf numFmtId="1" fontId="13" fillId="71" borderId="10" xfId="0" applyNumberFormat="1" applyFont="1" applyFill="1" applyBorder="1" applyAlignment="1" applyProtection="1">
      <alignment horizontal="center" vertical="center" wrapText="1"/>
      <protection locked="0"/>
    </xf>
    <xf numFmtId="0" fontId="95" fillId="43" borderId="76" xfId="86" applyFont="1" applyFill="1" applyBorder="1" applyAlignment="1">
      <alignment horizontal="center" vertical="center" wrapText="1"/>
    </xf>
    <xf numFmtId="0" fontId="95" fillId="0" borderId="14" xfId="86" applyFont="1" applyBorder="1" applyAlignment="1">
      <alignment horizontal="center" vertical="center"/>
    </xf>
    <xf numFmtId="0" fontId="95" fillId="52" borderId="14" xfId="86" applyFont="1" applyFill="1" applyBorder="1" applyAlignment="1">
      <alignment horizontal="center" vertical="center"/>
    </xf>
    <xf numFmtId="0" fontId="95" fillId="51" borderId="14" xfId="86" applyFont="1" applyFill="1" applyBorder="1" applyAlignment="1">
      <alignment horizontal="center" vertical="center"/>
    </xf>
    <xf numFmtId="0" fontId="95" fillId="50" borderId="14" xfId="86" applyFont="1" applyFill="1" applyBorder="1" applyAlignment="1">
      <alignment horizontal="center" vertical="center" wrapText="1"/>
    </xf>
    <xf numFmtId="0" fontId="96" fillId="38" borderId="14" xfId="86" applyFont="1" applyFill="1" applyBorder="1" applyAlignment="1">
      <alignment horizontal="center" vertical="center" wrapText="1"/>
    </xf>
    <xf numFmtId="0" fontId="95" fillId="49" borderId="14" xfId="86" applyFont="1" applyFill="1" applyBorder="1" applyAlignment="1">
      <alignment horizontal="center" vertical="center" wrapText="1"/>
    </xf>
    <xf numFmtId="0" fontId="96" fillId="40" borderId="14" xfId="86" applyFont="1" applyFill="1" applyBorder="1" applyAlignment="1">
      <alignment horizontal="center" vertical="center" wrapText="1"/>
    </xf>
    <xf numFmtId="0" fontId="96" fillId="64" borderId="14" xfId="86" quotePrefix="1" applyFont="1" applyFill="1" applyBorder="1" applyAlignment="1">
      <alignment horizontal="center" vertical="top" wrapText="1"/>
    </xf>
    <xf numFmtId="0" fontId="95" fillId="47" borderId="14" xfId="86" quotePrefix="1" applyFont="1" applyFill="1" applyBorder="1" applyAlignment="1">
      <alignment horizontal="center" vertical="center"/>
    </xf>
    <xf numFmtId="0" fontId="95" fillId="60" borderId="14" xfId="86" quotePrefix="1" applyFont="1" applyFill="1" applyBorder="1" applyAlignment="1">
      <alignment horizontal="center" vertical="center"/>
    </xf>
    <xf numFmtId="1" fontId="92" fillId="57" borderId="14" xfId="87" applyNumberFormat="1" applyFont="1" applyFill="1" applyBorder="1" applyAlignment="1" applyProtection="1">
      <alignment horizontal="center" vertical="center" wrapText="1"/>
      <protection locked="0"/>
    </xf>
    <xf numFmtId="0" fontId="95" fillId="39" borderId="14" xfId="86" quotePrefix="1" applyFont="1" applyFill="1" applyBorder="1" applyAlignment="1">
      <alignment horizontal="center" vertical="center"/>
    </xf>
    <xf numFmtId="0" fontId="96" fillId="40" borderId="14" xfId="86" applyFont="1" applyFill="1" applyBorder="1" applyAlignment="1">
      <alignment horizontal="center" vertical="center"/>
    </xf>
    <xf numFmtId="0" fontId="95" fillId="30" borderId="14" xfId="86" applyFont="1" applyFill="1" applyBorder="1" applyAlignment="1">
      <alignment horizontal="center" vertical="center" wrapText="1"/>
    </xf>
    <xf numFmtId="0" fontId="95" fillId="0" borderId="14" xfId="86" applyFont="1" applyFill="1" applyBorder="1" applyAlignment="1">
      <alignment horizontal="center" vertical="center" wrapText="1"/>
    </xf>
    <xf numFmtId="0" fontId="95" fillId="41" borderId="14" xfId="86" applyFont="1" applyFill="1" applyBorder="1" applyAlignment="1">
      <alignment horizontal="center" vertical="center" wrapText="1"/>
    </xf>
    <xf numFmtId="0" fontId="95" fillId="70" borderId="14" xfId="40" applyFont="1" applyFill="1" applyBorder="1" applyAlignment="1">
      <alignment horizontal="center" vertical="top" wrapText="1"/>
    </xf>
    <xf numFmtId="0" fontId="95" fillId="47" borderId="14" xfId="86" applyFont="1" applyFill="1" applyBorder="1" applyAlignment="1">
      <alignment horizontal="center" vertical="center" wrapText="1"/>
    </xf>
    <xf numFmtId="0" fontId="95" fillId="60" borderId="14" xfId="86" quotePrefix="1" applyFont="1" applyFill="1" applyBorder="1" applyAlignment="1">
      <alignment horizontal="center" vertical="center" wrapText="1"/>
    </xf>
    <xf numFmtId="0" fontId="95" fillId="71" borderId="14" xfId="40" applyFont="1" applyFill="1" applyBorder="1" applyAlignment="1" applyProtection="1">
      <alignment horizontal="center" vertical="center" wrapText="1"/>
      <protection locked="0"/>
    </xf>
    <xf numFmtId="1" fontId="13" fillId="66" borderId="14" xfId="40" applyNumberFormat="1" applyFont="1" applyFill="1" applyBorder="1" applyAlignment="1" applyProtection="1">
      <alignment horizontal="center" vertical="center" wrapText="1"/>
      <protection locked="0"/>
    </xf>
    <xf numFmtId="1" fontId="13" fillId="57" borderId="14" xfId="40" applyNumberFormat="1" applyFont="1" applyFill="1" applyBorder="1" applyAlignment="1" applyProtection="1">
      <alignment horizontal="center" vertical="center" wrapText="1"/>
      <protection locked="0"/>
    </xf>
    <xf numFmtId="0" fontId="88" fillId="0" borderId="14" xfId="86" applyFont="1" applyFill="1" applyBorder="1" applyAlignment="1">
      <alignment horizontal="center" vertical="center" wrapText="1"/>
    </xf>
    <xf numFmtId="0" fontId="88" fillId="0" borderId="29" xfId="86" applyFont="1" applyFill="1" applyBorder="1" applyAlignment="1">
      <alignment horizontal="center" vertical="center" wrapText="1"/>
    </xf>
    <xf numFmtId="171" fontId="19" fillId="63" borderId="18" xfId="33" applyNumberFormat="1" applyFont="1" applyFill="1" applyBorder="1" applyAlignment="1">
      <alignment horizontal="center" vertical="center"/>
    </xf>
    <xf numFmtId="3" fontId="51" fillId="0" borderId="73" xfId="86" applyNumberFormat="1" applyFont="1" applyBorder="1"/>
    <xf numFmtId="39" fontId="69" fillId="0" borderId="10" xfId="86" applyNumberFormat="1" applyFont="1" applyBorder="1"/>
    <xf numFmtId="3" fontId="51" fillId="0" borderId="10" xfId="86" applyNumberFormat="1" applyFont="1" applyBorder="1"/>
    <xf numFmtId="171" fontId="13" fillId="64" borderId="10" xfId="33" applyNumberFormat="1" applyFont="1" applyFill="1" applyBorder="1"/>
    <xf numFmtId="167" fontId="69" fillId="0" borderId="10" xfId="86" applyNumberFormat="1" applyFont="1" applyBorder="1"/>
    <xf numFmtId="3" fontId="19" fillId="70" borderId="10" xfId="33" applyNumberFormat="1" applyFont="1" applyFill="1" applyBorder="1"/>
    <xf numFmtId="173" fontId="69" fillId="0" borderId="10" xfId="86" applyNumberFormat="1" applyFont="1" applyBorder="1"/>
    <xf numFmtId="3" fontId="51" fillId="71" borderId="10" xfId="86" applyNumberFormat="1" applyFont="1" applyFill="1" applyBorder="1"/>
    <xf numFmtId="177" fontId="69" fillId="0" borderId="10" xfId="86" applyNumberFormat="1" applyFont="1" applyBorder="1"/>
    <xf numFmtId="173" fontId="69" fillId="0" borderId="11" xfId="86" applyNumberFormat="1" applyFont="1" applyBorder="1"/>
    <xf numFmtId="3" fontId="51" fillId="0" borderId="72" xfId="86" applyNumberFormat="1" applyFont="1" applyBorder="1"/>
    <xf numFmtId="173" fontId="69" fillId="0" borderId="13" xfId="86" applyNumberFormat="1" applyFont="1" applyBorder="1"/>
    <xf numFmtId="3" fontId="51" fillId="0" borderId="76" xfId="86" applyNumberFormat="1" applyFont="1" applyBorder="1"/>
    <xf numFmtId="39" fontId="69" fillId="0" borderId="14" xfId="86" applyNumberFormat="1" applyFont="1" applyBorder="1"/>
    <xf numFmtId="3" fontId="51" fillId="0" borderId="14" xfId="86" applyNumberFormat="1" applyFont="1" applyBorder="1"/>
    <xf numFmtId="171" fontId="13" fillId="64" borderId="14" xfId="33" applyNumberFormat="1" applyFont="1" applyFill="1" applyBorder="1"/>
    <xf numFmtId="167" fontId="69" fillId="0" borderId="14" xfId="86" applyNumberFormat="1" applyFont="1" applyBorder="1"/>
    <xf numFmtId="3" fontId="19" fillId="70" borderId="14" xfId="33" applyNumberFormat="1" applyFont="1" applyFill="1" applyBorder="1"/>
    <xf numFmtId="173" fontId="69" fillId="0" borderId="14" xfId="86" applyNumberFormat="1" applyFont="1" applyBorder="1"/>
    <xf numFmtId="3" fontId="51" fillId="71" borderId="14" xfId="86" applyNumberFormat="1" applyFont="1" applyFill="1" applyBorder="1"/>
    <xf numFmtId="177" fontId="69" fillId="0" borderId="14" xfId="86" applyNumberFormat="1" applyFont="1" applyBorder="1"/>
    <xf numFmtId="173" fontId="69" fillId="0" borderId="29" xfId="86" applyNumberFormat="1" applyFont="1" applyBorder="1"/>
    <xf numFmtId="173" fontId="69" fillId="0" borderId="17" xfId="86" applyNumberFormat="1" applyFont="1" applyBorder="1"/>
    <xf numFmtId="173" fontId="69" fillId="0" borderId="18" xfId="86" applyNumberFormat="1" applyFont="1" applyBorder="1"/>
    <xf numFmtId="173" fontId="69" fillId="0" borderId="30" xfId="86" applyNumberFormat="1" applyFont="1" applyBorder="1"/>
    <xf numFmtId="3" fontId="51" fillId="57" borderId="73" xfId="86" applyNumberFormat="1" applyFont="1" applyFill="1" applyBorder="1"/>
    <xf numFmtId="3" fontId="51" fillId="57" borderId="72" xfId="86" applyNumberFormat="1" applyFont="1" applyFill="1" applyBorder="1"/>
    <xf numFmtId="3" fontId="51" fillId="57" borderId="76" xfId="86" applyNumberFormat="1" applyFont="1" applyFill="1" applyBorder="1"/>
    <xf numFmtId="0" fontId="88" fillId="24" borderId="18" xfId="81" applyFont="1" applyFill="1" applyBorder="1" applyAlignment="1">
      <alignment horizontal="center" vertical="center"/>
    </xf>
    <xf numFmtId="0" fontId="88" fillId="24" borderId="69" xfId="81" applyFont="1" applyFill="1" applyBorder="1" applyAlignment="1">
      <alignment horizontal="center" vertical="top"/>
    </xf>
    <xf numFmtId="0" fontId="99" fillId="0" borderId="18" xfId="81" applyFont="1" applyBorder="1" applyAlignment="1">
      <alignment horizontal="left" wrapText="1"/>
    </xf>
    <xf numFmtId="0" fontId="99" fillId="29" borderId="18" xfId="81" applyFont="1" applyFill="1" applyBorder="1" applyAlignment="1">
      <alignment horizontal="left" wrapText="1"/>
    </xf>
    <xf numFmtId="0" fontId="100" fillId="29" borderId="18" xfId="81" applyFont="1" applyFill="1" applyBorder="1" applyAlignment="1">
      <alignment horizontal="left" wrapText="1"/>
    </xf>
    <xf numFmtId="0" fontId="99" fillId="0" borderId="18" xfId="81" applyFont="1" applyBorder="1" applyAlignment="1">
      <alignment horizontal="left"/>
    </xf>
    <xf numFmtId="0" fontId="88" fillId="63" borderId="73" xfId="81" applyFont="1" applyFill="1" applyBorder="1" applyAlignment="1">
      <alignment horizontal="center" vertical="center" wrapText="1"/>
    </xf>
    <xf numFmtId="0" fontId="88" fillId="63" borderId="72" xfId="81" applyFont="1" applyFill="1" applyBorder="1" applyAlignment="1">
      <alignment horizontal="center" vertical="top"/>
    </xf>
    <xf numFmtId="3" fontId="51" fillId="0" borderId="13" xfId="81" applyNumberFormat="1" applyFont="1" applyBorder="1"/>
    <xf numFmtId="3" fontId="51" fillId="0" borderId="14" xfId="81" applyNumberFormat="1" applyFont="1" applyBorder="1"/>
    <xf numFmtId="39" fontId="69" fillId="0" borderId="14" xfId="81" applyNumberFormat="1" applyFont="1" applyBorder="1"/>
    <xf numFmtId="37" fontId="51" fillId="0" borderId="14" xfId="81" applyNumberFormat="1" applyFont="1" applyBorder="1"/>
    <xf numFmtId="171" fontId="51" fillId="0" borderId="14" xfId="81" applyNumberFormat="1" applyFont="1" applyBorder="1"/>
    <xf numFmtId="0" fontId="51" fillId="0" borderId="14" xfId="81" applyFont="1" applyBorder="1"/>
    <xf numFmtId="177" fontId="51" fillId="0" borderId="14" xfId="81" applyNumberFormat="1" applyFont="1" applyBorder="1"/>
    <xf numFmtId="3" fontId="51" fillId="0" borderId="29" xfId="81" applyNumberFormat="1" applyFont="1" applyBorder="1"/>
    <xf numFmtId="171" fontId="19" fillId="63" borderId="61" xfId="33" applyNumberFormat="1" applyFont="1" applyFill="1" applyBorder="1" applyAlignment="1">
      <alignment horizontal="center" vertical="center"/>
    </xf>
    <xf numFmtId="171" fontId="19" fillId="63" borderId="60" xfId="33" applyNumberFormat="1" applyFont="1" applyFill="1" applyBorder="1" applyAlignment="1">
      <alignment horizontal="center" vertical="center"/>
    </xf>
    <xf numFmtId="1" fontId="64" fillId="0" borderId="19" xfId="40" applyNumberFormat="1" applyFont="1" applyFill="1" applyBorder="1" applyAlignment="1" applyProtection="1">
      <alignment horizontal="center" vertical="center" wrapText="1"/>
      <protection locked="0"/>
    </xf>
    <xf numFmtId="3" fontId="51" fillId="0" borderId="73" xfId="81" applyNumberFormat="1" applyFont="1" applyBorder="1"/>
    <xf numFmtId="39" fontId="69" fillId="0" borderId="10" xfId="81" applyNumberFormat="1" applyFont="1" applyBorder="1"/>
    <xf numFmtId="37" fontId="51" fillId="0" borderId="10" xfId="81" applyNumberFormat="1" applyFont="1" applyBorder="1"/>
    <xf numFmtId="3" fontId="51" fillId="0" borderId="10" xfId="81" applyNumberFormat="1" applyFont="1" applyBorder="1"/>
    <xf numFmtId="171" fontId="51" fillId="0" borderId="10" xfId="81" applyNumberFormat="1" applyFont="1" applyBorder="1"/>
    <xf numFmtId="0" fontId="51" fillId="0" borderId="10" xfId="81" applyFont="1" applyBorder="1"/>
    <xf numFmtId="177" fontId="51" fillId="0" borderId="10" xfId="81" applyNumberFormat="1" applyFont="1" applyBorder="1"/>
    <xf numFmtId="3" fontId="51" fillId="0" borderId="11" xfId="81" applyNumberFormat="1" applyFont="1" applyBorder="1"/>
    <xf numFmtId="3" fontId="51" fillId="0" borderId="72" xfId="81" applyNumberFormat="1" applyFont="1" applyBorder="1"/>
    <xf numFmtId="3" fontId="51" fillId="0" borderId="76" xfId="81" applyNumberFormat="1" applyFont="1" applyBorder="1"/>
    <xf numFmtId="0" fontId="88" fillId="0" borderId="69" xfId="81" applyFont="1" applyBorder="1" applyAlignment="1">
      <alignment horizontal="center" vertical="center" wrapText="1"/>
    </xf>
    <xf numFmtId="39" fontId="69" fillId="0" borderId="17" xfId="81" applyNumberFormat="1" applyFont="1" applyBorder="1"/>
    <xf numFmtId="39" fontId="69" fillId="0" borderId="18" xfId="81" applyNumberFormat="1" applyFont="1" applyBorder="1"/>
    <xf numFmtId="39" fontId="69" fillId="0" borderId="30" xfId="81" applyNumberFormat="1" applyFont="1" applyBorder="1"/>
    <xf numFmtId="0" fontId="88" fillId="51" borderId="67" xfId="81" applyFont="1" applyFill="1" applyBorder="1" applyAlignment="1">
      <alignment horizontal="center" vertical="center" wrapText="1"/>
    </xf>
    <xf numFmtId="3" fontId="51" fillId="0" borderId="26" xfId="81" applyNumberFormat="1" applyFont="1" applyBorder="1"/>
    <xf numFmtId="3" fontId="51" fillId="0" borderId="15" xfId="81" applyNumberFormat="1" applyFont="1" applyBorder="1"/>
    <xf numFmtId="3" fontId="51" fillId="0" borderId="27" xfId="81" applyNumberFormat="1" applyFont="1" applyBorder="1"/>
    <xf numFmtId="0" fontId="88" fillId="52" borderId="68" xfId="81" applyFont="1" applyFill="1" applyBorder="1" applyAlignment="1">
      <alignment horizontal="center" vertical="center" wrapText="1"/>
    </xf>
    <xf numFmtId="0" fontId="88" fillId="0" borderId="19" xfId="81" applyFont="1" applyBorder="1" applyAlignment="1">
      <alignment horizontal="center" vertical="center" wrapText="1"/>
    </xf>
    <xf numFmtId="37" fontId="51" fillId="0" borderId="73" xfId="81" applyNumberFormat="1" applyFont="1" applyBorder="1"/>
    <xf numFmtId="39" fontId="69" fillId="0" borderId="11" xfId="81" applyNumberFormat="1" applyFont="1" applyBorder="1"/>
    <xf numFmtId="37" fontId="51" fillId="0" borderId="72" xfId="81" applyNumberFormat="1" applyFont="1" applyBorder="1"/>
    <xf numFmtId="39" fontId="69" fillId="0" borderId="13" xfId="81" applyNumberFormat="1" applyFont="1" applyBorder="1"/>
    <xf numFmtId="37" fontId="51" fillId="0" borderId="76" xfId="81" applyNumberFormat="1" applyFont="1" applyBorder="1"/>
    <xf numFmtId="39" fontId="69" fillId="0" borderId="29" xfId="81" applyNumberFormat="1" applyFont="1" applyBorder="1"/>
    <xf numFmtId="0" fontId="91" fillId="38" borderId="67" xfId="81" applyFont="1" applyFill="1" applyBorder="1" applyAlignment="1">
      <alignment horizontal="center" vertical="center" wrapText="1"/>
    </xf>
    <xf numFmtId="0" fontId="88" fillId="50" borderId="68" xfId="81" applyFont="1" applyFill="1" applyBorder="1" applyAlignment="1">
      <alignment horizontal="center" vertical="center" wrapText="1"/>
    </xf>
    <xf numFmtId="0" fontId="91" fillId="40" borderId="67" xfId="81" applyFont="1" applyFill="1" applyBorder="1" applyAlignment="1">
      <alignment horizontal="center" vertical="center" wrapText="1"/>
    </xf>
    <xf numFmtId="0" fontId="88" fillId="49" borderId="68" xfId="81" applyFont="1" applyFill="1" applyBorder="1" applyAlignment="1">
      <alignment horizontal="center" vertical="center" wrapText="1"/>
    </xf>
    <xf numFmtId="0" fontId="88" fillId="60" borderId="67" xfId="81" quotePrefix="1" applyFont="1" applyFill="1" applyBorder="1" applyAlignment="1">
      <alignment horizontal="center" vertical="center" wrapText="1"/>
    </xf>
    <xf numFmtId="37" fontId="51" fillId="0" borderId="26" xfId="81" applyNumberFormat="1" applyFont="1" applyBorder="1"/>
    <xf numFmtId="37" fontId="51" fillId="0" borderId="15" xfId="81" applyNumberFormat="1" applyFont="1" applyBorder="1"/>
    <xf numFmtId="37" fontId="51" fillId="0" borderId="27" xfId="81" applyNumberFormat="1" applyFont="1" applyBorder="1"/>
    <xf numFmtId="0" fontId="91" fillId="64" borderId="73" xfId="81" quotePrefix="1" applyFont="1" applyFill="1" applyBorder="1" applyAlignment="1">
      <alignment horizontal="center" vertical="center" wrapText="1"/>
    </xf>
    <xf numFmtId="0" fontId="91" fillId="64" borderId="68" xfId="81" applyFont="1" applyFill="1" applyBorder="1" applyAlignment="1">
      <alignment horizontal="center" vertical="center" wrapText="1"/>
    </xf>
    <xf numFmtId="171" fontId="13" fillId="64" borderId="73" xfId="33" applyNumberFormat="1" applyFont="1" applyFill="1" applyBorder="1"/>
    <xf numFmtId="171" fontId="13" fillId="64" borderId="72" xfId="33" applyNumberFormat="1" applyFont="1" applyFill="1" applyBorder="1"/>
    <xf numFmtId="171" fontId="13" fillId="64" borderId="76" xfId="33" applyNumberFormat="1" applyFont="1" applyFill="1" applyBorder="1"/>
    <xf numFmtId="0" fontId="88" fillId="39" borderId="68" xfId="81" quotePrefix="1" applyFont="1" applyFill="1" applyBorder="1" applyAlignment="1">
      <alignment horizontal="center" vertical="center" wrapText="1"/>
    </xf>
    <xf numFmtId="37" fontId="51" fillId="0" borderId="73" xfId="33" applyNumberFormat="1" applyFont="1" applyBorder="1"/>
    <xf numFmtId="37" fontId="51" fillId="0" borderId="72" xfId="33" applyNumberFormat="1" applyFont="1" applyBorder="1"/>
    <xf numFmtId="37" fontId="51" fillId="0" borderId="76" xfId="33" applyNumberFormat="1" applyFont="1" applyBorder="1"/>
    <xf numFmtId="0" fontId="88" fillId="40" borderId="17" xfId="69" applyFont="1" applyFill="1" applyBorder="1" applyAlignment="1">
      <alignment horizontal="center" vertical="center" wrapText="1"/>
    </xf>
    <xf numFmtId="0" fontId="91" fillId="40" borderId="69" xfId="81" applyFont="1" applyFill="1" applyBorder="1" applyAlignment="1">
      <alignment horizontal="center" vertical="center" wrapText="1"/>
    </xf>
    <xf numFmtId="0" fontId="51" fillId="0" borderId="17" xfId="81" applyFont="1" applyBorder="1"/>
    <xf numFmtId="0" fontId="51" fillId="0" borderId="18" xfId="81" applyFont="1" applyBorder="1"/>
    <xf numFmtId="0" fontId="51" fillId="0" borderId="30" xfId="81" applyFont="1" applyBorder="1"/>
    <xf numFmtId="0" fontId="88" fillId="30" borderId="67" xfId="81" applyFont="1" applyFill="1" applyBorder="1" applyAlignment="1">
      <alignment horizontal="center" vertical="center" wrapText="1"/>
    </xf>
    <xf numFmtId="1" fontId="90" fillId="57" borderId="68" xfId="82" applyNumberFormat="1" applyFont="1" applyFill="1" applyBorder="1" applyAlignment="1" applyProtection="1">
      <alignment horizontal="center" vertical="center" wrapText="1"/>
      <protection locked="0"/>
    </xf>
    <xf numFmtId="1" fontId="90" fillId="57" borderId="19" xfId="82" applyNumberFormat="1" applyFont="1" applyFill="1" applyBorder="1" applyAlignment="1" applyProtection="1">
      <alignment horizontal="center" vertical="center" wrapText="1"/>
      <protection locked="0"/>
    </xf>
    <xf numFmtId="0" fontId="88" fillId="0" borderId="69" xfId="81" applyFont="1" applyFill="1" applyBorder="1" applyAlignment="1">
      <alignment horizontal="center" vertical="center" wrapText="1"/>
    </xf>
    <xf numFmtId="0" fontId="88" fillId="41" borderId="68" xfId="81" applyFont="1" applyFill="1" applyBorder="1" applyAlignment="1">
      <alignment horizontal="center" vertical="center" wrapText="1"/>
    </xf>
    <xf numFmtId="0" fontId="88" fillId="0" borderId="19" xfId="81" applyFont="1" applyFill="1" applyBorder="1" applyAlignment="1">
      <alignment horizontal="center" vertical="center" wrapText="1"/>
    </xf>
    <xf numFmtId="0" fontId="88" fillId="65" borderId="62" xfId="81" applyFont="1" applyFill="1" applyBorder="1" applyAlignment="1">
      <alignment horizontal="center" vertical="center" wrapText="1"/>
    </xf>
    <xf numFmtId="0" fontId="88" fillId="65" borderId="77" xfId="40" applyFont="1" applyFill="1" applyBorder="1" applyAlignment="1">
      <alignment horizontal="center" vertical="center" wrapText="1"/>
    </xf>
    <xf numFmtId="3" fontId="19" fillId="65" borderId="62" xfId="33" applyNumberFormat="1" applyFont="1" applyFill="1" applyBorder="1"/>
    <xf numFmtId="3" fontId="19" fillId="65" borderId="63" xfId="33" applyNumberFormat="1" applyFont="1" applyFill="1" applyBorder="1"/>
    <xf numFmtId="3" fontId="19" fillId="65" borderId="98" xfId="33" applyNumberFormat="1" applyFont="1" applyFill="1" applyBorder="1"/>
    <xf numFmtId="0" fontId="88" fillId="41" borderId="67" xfId="81" applyFont="1" applyFill="1" applyBorder="1" applyAlignment="1">
      <alignment horizontal="center" vertical="center" wrapText="1"/>
    </xf>
    <xf numFmtId="0" fontId="88" fillId="30" borderId="68" xfId="81" applyFont="1" applyFill="1" applyBorder="1" applyAlignment="1">
      <alignment horizontal="center" vertical="center" wrapText="1"/>
    </xf>
    <xf numFmtId="173" fontId="69" fillId="0" borderId="11" xfId="81" applyNumberFormat="1" applyFont="1" applyBorder="1"/>
    <xf numFmtId="173" fontId="69" fillId="0" borderId="13" xfId="81" applyNumberFormat="1" applyFont="1" applyBorder="1"/>
    <xf numFmtId="173" fontId="69" fillId="0" borderId="29" xfId="81" applyNumberFormat="1" applyFont="1" applyBorder="1"/>
    <xf numFmtId="173" fontId="69" fillId="0" borderId="17" xfId="81" applyNumberFormat="1" applyFont="1" applyBorder="1"/>
    <xf numFmtId="173" fontId="69" fillId="0" borderId="18" xfId="81" applyNumberFormat="1" applyFont="1" applyBorder="1"/>
    <xf numFmtId="173" fontId="69" fillId="0" borderId="30" xfId="81" applyNumberFormat="1" applyFont="1" applyBorder="1"/>
    <xf numFmtId="1" fontId="90" fillId="35" borderId="26" xfId="40" applyNumberFormat="1" applyFont="1" applyFill="1" applyBorder="1" applyAlignment="1" applyProtection="1">
      <alignment horizontal="center" vertical="center" wrapText="1"/>
      <protection locked="0"/>
    </xf>
    <xf numFmtId="0" fontId="90" fillId="35" borderId="67" xfId="40" applyFont="1" applyFill="1" applyBorder="1" applyAlignment="1" applyProtection="1">
      <alignment horizontal="center" vertical="center" wrapText="1"/>
      <protection locked="0"/>
    </xf>
    <xf numFmtId="0" fontId="88" fillId="47" borderId="68" xfId="81" applyFont="1" applyFill="1" applyBorder="1" applyAlignment="1">
      <alignment horizontal="center" vertical="center" wrapText="1"/>
    </xf>
    <xf numFmtId="0" fontId="92" fillId="35" borderId="17" xfId="40" applyFont="1" applyFill="1" applyBorder="1" applyAlignment="1" applyProtection="1">
      <alignment horizontal="center" vertical="center" wrapText="1"/>
      <protection locked="0"/>
    </xf>
    <xf numFmtId="0" fontId="90" fillId="35" borderId="69" xfId="40" applyFont="1" applyFill="1" applyBorder="1" applyAlignment="1" applyProtection="1">
      <alignment horizontal="center" vertical="center" wrapText="1"/>
      <protection locked="0"/>
    </xf>
    <xf numFmtId="3" fontId="51" fillId="0" borderId="17" xfId="81" applyNumberFormat="1" applyFont="1" applyBorder="1"/>
    <xf numFmtId="3" fontId="51" fillId="0" borderId="18" xfId="81" applyNumberFormat="1" applyFont="1" applyBorder="1"/>
    <xf numFmtId="3" fontId="51" fillId="0" borderId="30" xfId="81" applyNumberFormat="1" applyFont="1" applyBorder="1"/>
    <xf numFmtId="1" fontId="64" fillId="0" borderId="67" xfId="40" applyNumberFormat="1" applyFont="1" applyFill="1" applyBorder="1" applyAlignment="1" applyProtection="1">
      <alignment horizontal="center" vertical="center" wrapText="1"/>
      <protection locked="0"/>
    </xf>
    <xf numFmtId="0" fontId="90" fillId="66" borderId="68" xfId="40" applyFont="1" applyFill="1" applyBorder="1" applyAlignment="1" applyProtection="1">
      <alignment horizontal="center" vertical="center" wrapText="1"/>
      <protection locked="0"/>
    </xf>
    <xf numFmtId="1" fontId="64" fillId="66" borderId="19" xfId="40" applyNumberFormat="1" applyFont="1" applyFill="1" applyBorder="1" applyAlignment="1" applyProtection="1">
      <alignment horizontal="center" vertical="center" wrapText="1"/>
      <protection locked="0"/>
    </xf>
    <xf numFmtId="177" fontId="51" fillId="0" borderId="11" xfId="81" applyNumberFormat="1" applyFont="1" applyBorder="1"/>
    <xf numFmtId="177" fontId="51" fillId="0" borderId="13" xfId="81" applyNumberFormat="1" applyFont="1" applyBorder="1"/>
    <xf numFmtId="177" fontId="51" fillId="0" borderId="29" xfId="81" applyNumberFormat="1" applyFont="1" applyBorder="1"/>
    <xf numFmtId="0" fontId="49" fillId="0" borderId="0" xfId="0" applyFont="1" applyBorder="1"/>
    <xf numFmtId="171" fontId="102" fillId="0" borderId="0" xfId="77" applyNumberFormat="1" applyFont="1" applyFill="1" applyBorder="1"/>
    <xf numFmtId="173" fontId="98" fillId="0" borderId="0" xfId="77" applyNumberFormat="1" applyFont="1" applyFill="1" applyBorder="1"/>
    <xf numFmtId="164" fontId="98" fillId="0" borderId="0" xfId="77" applyNumberFormat="1" applyFont="1" applyFill="1" applyBorder="1"/>
    <xf numFmtId="0" fontId="15" fillId="0" borderId="0" xfId="0" applyFont="1" applyAlignment="1">
      <alignment horizontal="center"/>
    </xf>
    <xf numFmtId="0" fontId="15" fillId="0" borderId="65" xfId="0" applyFont="1" applyBorder="1" applyAlignment="1">
      <alignment horizontal="center"/>
    </xf>
    <xf numFmtId="0" fontId="40" fillId="0" borderId="0" xfId="0" applyFont="1" applyBorder="1" applyAlignment="1">
      <alignment horizontal="center"/>
    </xf>
    <xf numFmtId="0" fontId="40" fillId="0" borderId="65" xfId="0" applyFont="1" applyBorder="1" applyAlignment="1">
      <alignment horizontal="center"/>
    </xf>
    <xf numFmtId="0" fontId="15" fillId="0" borderId="21" xfId="0" applyFont="1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15" fillId="0" borderId="33" xfId="0" applyFont="1" applyBorder="1" applyAlignment="1">
      <alignment horizontal="center"/>
    </xf>
    <xf numFmtId="0" fontId="15" fillId="0" borderId="50" xfId="0" applyFont="1" applyBorder="1" applyAlignment="1">
      <alignment horizontal="center"/>
    </xf>
    <xf numFmtId="2" fontId="18" fillId="28" borderId="74" xfId="47" applyNumberFormat="1" applyFont="1" applyFill="1" applyBorder="1" applyAlignment="1">
      <alignment vertical="center" wrapText="1"/>
    </xf>
    <xf numFmtId="2" fontId="18" fillId="28" borderId="85" xfId="47" applyNumberFormat="1" applyFont="1" applyFill="1" applyBorder="1" applyAlignment="1">
      <alignment vertical="center" wrapText="1"/>
    </xf>
    <xf numFmtId="2" fontId="18" fillId="28" borderId="10" xfId="47" applyNumberFormat="1" applyFont="1" applyFill="1" applyBorder="1" applyAlignment="1">
      <alignment horizontal="center" vertical="center" wrapText="1"/>
    </xf>
    <xf numFmtId="2" fontId="18" fillId="28" borderId="14" xfId="47" applyNumberFormat="1" applyFont="1" applyFill="1" applyBorder="1" applyAlignment="1">
      <alignment horizontal="center" vertical="center" wrapText="1"/>
    </xf>
    <xf numFmtId="0" fontId="15" fillId="27" borderId="52" xfId="0" applyFont="1" applyFill="1" applyBorder="1" applyAlignment="1">
      <alignment horizontal="center" vertical="center" wrapText="1"/>
    </xf>
    <xf numFmtId="0" fontId="15" fillId="0" borderId="81" xfId="0" applyFont="1" applyBorder="1" applyAlignment="1">
      <alignment horizontal="center" vertical="center" wrapText="1"/>
    </xf>
    <xf numFmtId="0" fontId="15" fillId="27" borderId="21" xfId="0" applyFont="1" applyFill="1" applyBorder="1" applyAlignment="1">
      <alignment horizontal="center"/>
    </xf>
    <xf numFmtId="0" fontId="15" fillId="27" borderId="23" xfId="0" applyFont="1" applyFill="1" applyBorder="1" applyAlignment="1">
      <alignment horizontal="center"/>
    </xf>
    <xf numFmtId="0" fontId="15" fillId="27" borderId="33" xfId="0" applyFont="1" applyFill="1" applyBorder="1" applyAlignment="1">
      <alignment horizontal="center"/>
    </xf>
    <xf numFmtId="0" fontId="15" fillId="27" borderId="50" xfId="0" applyFont="1" applyFill="1" applyBorder="1" applyAlignment="1">
      <alignment horizontal="center"/>
    </xf>
    <xf numFmtId="0" fontId="15" fillId="27" borderId="20" xfId="0" applyFont="1" applyFill="1" applyBorder="1" applyAlignment="1">
      <alignment horizontal="center" vertical="center"/>
    </xf>
    <xf numFmtId="0" fontId="15" fillId="27" borderId="86" xfId="0" applyFont="1" applyFill="1" applyBorder="1" applyAlignment="1">
      <alignment horizontal="center" vertical="center"/>
    </xf>
    <xf numFmtId="0" fontId="15" fillId="27" borderId="87" xfId="0" applyFont="1" applyFill="1" applyBorder="1" applyAlignment="1">
      <alignment horizontal="center"/>
    </xf>
    <xf numFmtId="0" fontId="15" fillId="27" borderId="88" xfId="0" applyFont="1" applyFill="1" applyBorder="1" applyAlignment="1">
      <alignment horizontal="center"/>
    </xf>
    <xf numFmtId="0" fontId="15" fillId="27" borderId="89" xfId="0" applyFont="1" applyFill="1" applyBorder="1" applyAlignment="1">
      <alignment horizontal="center"/>
    </xf>
    <xf numFmtId="0" fontId="15" fillId="27" borderId="90" xfId="0" applyFont="1" applyFill="1" applyBorder="1" applyAlignment="1">
      <alignment horizontal="center"/>
    </xf>
    <xf numFmtId="0" fontId="40" fillId="0" borderId="65" xfId="43" applyFont="1" applyBorder="1" applyAlignment="1">
      <alignment horizontal="center"/>
    </xf>
    <xf numFmtId="0" fontId="15" fillId="27" borderId="21" xfId="43" applyFont="1" applyFill="1" applyBorder="1" applyAlignment="1">
      <alignment horizontal="center" vertical="center"/>
    </xf>
    <xf numFmtId="0" fontId="15" fillId="27" borderId="23" xfId="43" applyFont="1" applyFill="1" applyBorder="1" applyAlignment="1">
      <alignment horizontal="center" vertical="center"/>
    </xf>
    <xf numFmtId="0" fontId="15" fillId="27" borderId="33" xfId="43" applyFont="1" applyFill="1" applyBorder="1" applyAlignment="1">
      <alignment horizontal="center" vertical="center"/>
    </xf>
    <xf numFmtId="0" fontId="15" fillId="27" borderId="50" xfId="43" applyFont="1" applyFill="1" applyBorder="1" applyAlignment="1">
      <alignment horizontal="center" vertical="center"/>
    </xf>
    <xf numFmtId="0" fontId="15" fillId="27" borderId="21" xfId="43" applyFont="1" applyFill="1" applyBorder="1" applyAlignment="1">
      <alignment horizontal="center" wrapText="1"/>
    </xf>
    <xf numFmtId="0" fontId="15" fillId="27" borderId="23" xfId="43" applyFont="1" applyFill="1" applyBorder="1" applyAlignment="1">
      <alignment horizontal="center" wrapText="1"/>
    </xf>
    <xf numFmtId="0" fontId="15" fillId="0" borderId="21" xfId="43" applyFont="1" applyBorder="1" applyAlignment="1">
      <alignment horizontal="center" vertical="center"/>
    </xf>
    <xf numFmtId="0" fontId="15" fillId="0" borderId="23" xfId="43" applyFont="1" applyBorder="1" applyAlignment="1">
      <alignment horizontal="center" vertical="center"/>
    </xf>
    <xf numFmtId="0" fontId="15" fillId="0" borderId="33" xfId="43" applyFont="1" applyBorder="1" applyAlignment="1">
      <alignment horizontal="center" vertical="center"/>
    </xf>
    <xf numFmtId="0" fontId="15" fillId="0" borderId="50" xfId="43" applyFont="1" applyBorder="1" applyAlignment="1">
      <alignment horizontal="center" vertical="center"/>
    </xf>
    <xf numFmtId="0" fontId="15" fillId="0" borderId="21" xfId="43" applyFont="1" applyBorder="1" applyAlignment="1">
      <alignment horizontal="center" vertical="center" wrapText="1"/>
    </xf>
    <xf numFmtId="0" fontId="15" fillId="0" borderId="23" xfId="43" applyFont="1" applyBorder="1" applyAlignment="1">
      <alignment horizontal="center" vertical="center" wrapText="1"/>
    </xf>
    <xf numFmtId="0" fontId="12" fillId="43" borderId="21" xfId="41" applyFont="1" applyFill="1" applyBorder="1" applyAlignment="1">
      <alignment horizontal="center" vertical="center" wrapText="1"/>
    </xf>
    <xf numFmtId="0" fontId="12" fillId="43" borderId="33" xfId="41" applyFont="1" applyFill="1" applyBorder="1" applyAlignment="1">
      <alignment horizontal="center" vertical="center" wrapText="1"/>
    </xf>
    <xf numFmtId="0" fontId="12" fillId="47" borderId="21" xfId="41" applyFont="1" applyFill="1" applyBorder="1" applyAlignment="1">
      <alignment horizontal="center" vertical="center" wrapText="1"/>
    </xf>
    <xf numFmtId="0" fontId="12" fillId="47" borderId="23" xfId="41" applyFont="1" applyFill="1" applyBorder="1" applyAlignment="1">
      <alignment horizontal="center" vertical="center" wrapText="1"/>
    </xf>
    <xf numFmtId="0" fontId="48" fillId="39" borderId="22" xfId="41" applyFont="1" applyFill="1" applyBorder="1" applyAlignment="1">
      <alignment horizontal="center"/>
    </xf>
    <xf numFmtId="0" fontId="12" fillId="51" borderId="21" xfId="41" applyFont="1" applyFill="1" applyBorder="1" applyAlignment="1">
      <alignment horizontal="center" vertical="center" wrapText="1"/>
    </xf>
    <xf numFmtId="0" fontId="12" fillId="51" borderId="23" xfId="41" applyFont="1" applyFill="1" applyBorder="1" applyAlignment="1">
      <alignment horizontal="center" vertical="center" wrapText="1"/>
    </xf>
    <xf numFmtId="0" fontId="12" fillId="50" borderId="21" xfId="41" applyFont="1" applyFill="1" applyBorder="1" applyAlignment="1">
      <alignment horizontal="center" vertical="center" wrapText="1"/>
    </xf>
    <xf numFmtId="0" fontId="12" fillId="50" borderId="23" xfId="41" applyFont="1" applyFill="1" applyBorder="1" applyAlignment="1">
      <alignment horizontal="center" vertical="center" wrapText="1"/>
    </xf>
    <xf numFmtId="0" fontId="12" fillId="47" borderId="21" xfId="61" applyFont="1" applyFill="1" applyBorder="1" applyAlignment="1">
      <alignment horizontal="center" vertical="center" wrapText="1"/>
    </xf>
    <xf numFmtId="0" fontId="12" fillId="47" borderId="23" xfId="61" applyFont="1" applyFill="1" applyBorder="1" applyAlignment="1">
      <alignment horizontal="center" vertical="center" wrapText="1"/>
    </xf>
    <xf numFmtId="0" fontId="12" fillId="51" borderId="21" xfId="61" applyFont="1" applyFill="1" applyBorder="1" applyAlignment="1">
      <alignment horizontal="center" vertical="center" wrapText="1"/>
    </xf>
    <xf numFmtId="0" fontId="12" fillId="51" borderId="23" xfId="61" applyFont="1" applyFill="1" applyBorder="1" applyAlignment="1">
      <alignment horizontal="center" vertical="center" wrapText="1"/>
    </xf>
    <xf numFmtId="0" fontId="12" fillId="50" borderId="21" xfId="61" applyFont="1" applyFill="1" applyBorder="1" applyAlignment="1">
      <alignment horizontal="center" vertical="center" wrapText="1"/>
    </xf>
    <xf numFmtId="0" fontId="12" fillId="50" borderId="23" xfId="61" applyFont="1" applyFill="1" applyBorder="1" applyAlignment="1">
      <alignment horizontal="center" vertical="center" wrapText="1"/>
    </xf>
    <xf numFmtId="0" fontId="12" fillId="43" borderId="21" xfId="61" applyFont="1" applyFill="1" applyBorder="1" applyAlignment="1">
      <alignment horizontal="center" vertical="center" wrapText="1"/>
    </xf>
    <xf numFmtId="0" fontId="12" fillId="43" borderId="33" xfId="61" applyFont="1" applyFill="1" applyBorder="1" applyAlignment="1">
      <alignment horizontal="center" vertical="center" wrapText="1"/>
    </xf>
    <xf numFmtId="0" fontId="48" fillId="39" borderId="22" xfId="61" applyFont="1" applyFill="1" applyBorder="1" applyAlignment="1">
      <alignment horizontal="center"/>
    </xf>
    <xf numFmtId="0" fontId="69" fillId="48" borderId="21" xfId="68" applyFont="1" applyFill="1" applyBorder="1" applyAlignment="1">
      <alignment horizontal="center" vertical="center" wrapText="1"/>
    </xf>
    <xf numFmtId="0" fontId="69" fillId="48" borderId="23" xfId="68" applyFont="1" applyFill="1" applyBorder="1" applyAlignment="1">
      <alignment horizontal="center" vertical="center" wrapText="1"/>
    </xf>
    <xf numFmtId="1" fontId="45" fillId="66" borderId="51" xfId="40" applyNumberFormat="1" applyFont="1" applyFill="1" applyBorder="1" applyAlignment="1" applyProtection="1">
      <alignment horizontal="center" vertical="center" wrapText="1"/>
      <protection locked="0"/>
    </xf>
    <xf numFmtId="1" fontId="45" fillId="66" borderId="107" xfId="40" applyNumberFormat="1" applyFont="1" applyFill="1" applyBorder="1" applyAlignment="1" applyProtection="1">
      <alignment horizontal="center" vertical="center" wrapText="1"/>
      <protection locked="0"/>
    </xf>
    <xf numFmtId="1" fontId="90" fillId="57" borderId="92" xfId="74" applyNumberFormat="1" applyFont="1" applyFill="1" applyBorder="1" applyAlignment="1" applyProtection="1">
      <alignment horizontal="center" vertical="center" wrapText="1"/>
      <protection locked="0"/>
    </xf>
    <xf numFmtId="0" fontId="88" fillId="30" borderId="92" xfId="73" applyFont="1" applyFill="1" applyBorder="1" applyAlignment="1">
      <alignment horizontal="center" vertical="center" wrapText="1"/>
    </xf>
    <xf numFmtId="0" fontId="88" fillId="41" borderId="92" xfId="73" applyFont="1" applyFill="1" applyBorder="1" applyAlignment="1">
      <alignment horizontal="center" vertical="center" wrapText="1"/>
    </xf>
    <xf numFmtId="0" fontId="88" fillId="47" borderId="92" xfId="73" applyFont="1" applyFill="1" applyBorder="1" applyAlignment="1">
      <alignment horizontal="center" vertical="center" wrapText="1"/>
    </xf>
    <xf numFmtId="0" fontId="88" fillId="40" borderId="92" xfId="69" applyFont="1" applyFill="1" applyBorder="1" applyAlignment="1">
      <alignment horizontal="center" vertical="center" wrapText="1"/>
    </xf>
    <xf numFmtId="0" fontId="88" fillId="50" borderId="92" xfId="73" applyFont="1" applyFill="1" applyBorder="1" applyAlignment="1">
      <alignment horizontal="center" vertical="center" wrapText="1"/>
    </xf>
    <xf numFmtId="0" fontId="88" fillId="38" borderId="92" xfId="69" applyFont="1" applyFill="1" applyBorder="1" applyAlignment="1">
      <alignment horizontal="center" vertical="center" wrapText="1"/>
    </xf>
    <xf numFmtId="1" fontId="90" fillId="49" borderId="92" xfId="40" applyNumberFormat="1" applyFont="1" applyFill="1" applyBorder="1" applyAlignment="1" applyProtection="1">
      <alignment horizontal="center" vertical="center" wrapText="1"/>
      <protection locked="0"/>
    </xf>
    <xf numFmtId="0" fontId="88" fillId="60" borderId="51" xfId="40" applyFont="1" applyFill="1" applyBorder="1" applyAlignment="1" applyProtection="1">
      <alignment horizontal="center" vertical="center" wrapText="1"/>
      <protection locked="0"/>
    </xf>
    <xf numFmtId="0" fontId="88" fillId="60" borderId="106" xfId="40" applyFont="1" applyFill="1" applyBorder="1" applyAlignment="1" applyProtection="1">
      <alignment horizontal="center" vertical="center" wrapText="1"/>
      <protection locked="0"/>
    </xf>
    <xf numFmtId="0" fontId="88" fillId="39" borderId="92" xfId="73" applyFont="1" applyFill="1" applyBorder="1" applyAlignment="1">
      <alignment horizontal="center" vertical="center" wrapText="1"/>
    </xf>
    <xf numFmtId="0" fontId="89" fillId="43" borderId="92" xfId="73" applyFont="1" applyFill="1" applyBorder="1" applyAlignment="1">
      <alignment horizontal="center" vertical="center" wrapText="1"/>
    </xf>
    <xf numFmtId="0" fontId="90" fillId="36" borderId="92" xfId="40" applyFont="1" applyFill="1" applyBorder="1" applyAlignment="1" applyProtection="1">
      <alignment horizontal="center" vertical="center" wrapText="1"/>
      <protection locked="0"/>
    </xf>
    <xf numFmtId="1" fontId="88" fillId="59" borderId="92" xfId="40" applyNumberFormat="1" applyFont="1" applyFill="1" applyBorder="1" applyAlignment="1" applyProtection="1">
      <alignment horizontal="center" vertical="center" wrapText="1"/>
      <protection locked="0"/>
    </xf>
    <xf numFmtId="0" fontId="88" fillId="51" borderId="92" xfId="73" applyFont="1" applyFill="1" applyBorder="1" applyAlignment="1">
      <alignment horizontal="center" vertical="center" wrapText="1"/>
    </xf>
    <xf numFmtId="0" fontId="88" fillId="41" borderId="10" xfId="77" applyFont="1" applyFill="1" applyBorder="1" applyAlignment="1">
      <alignment horizontal="center" vertical="center" wrapText="1"/>
    </xf>
    <xf numFmtId="0" fontId="88" fillId="47" borderId="10" xfId="77" applyFont="1" applyFill="1" applyBorder="1" applyAlignment="1">
      <alignment horizontal="center" vertical="center" wrapText="1"/>
    </xf>
    <xf numFmtId="1" fontId="45" fillId="66" borderId="10" xfId="40" applyNumberFormat="1" applyFont="1" applyFill="1" applyBorder="1" applyAlignment="1" applyProtection="1">
      <alignment horizontal="center" vertical="center" wrapText="1"/>
      <protection locked="0"/>
    </xf>
    <xf numFmtId="1" fontId="13" fillId="0" borderId="10" xfId="40" applyNumberFormat="1" applyFont="1" applyFill="1" applyBorder="1" applyAlignment="1" applyProtection="1">
      <alignment horizontal="center" vertical="center" wrapText="1"/>
      <protection locked="0"/>
    </xf>
    <xf numFmtId="1" fontId="13" fillId="0" borderId="11" xfId="40" applyNumberFormat="1" applyFont="1" applyFill="1" applyBorder="1" applyAlignment="1" applyProtection="1">
      <alignment horizontal="center" vertical="center" wrapText="1"/>
      <protection locked="0"/>
    </xf>
    <xf numFmtId="0" fontId="88" fillId="40" borderId="10" xfId="69" applyFont="1" applyFill="1" applyBorder="1" applyAlignment="1">
      <alignment horizontal="center" vertical="center" wrapText="1"/>
    </xf>
    <xf numFmtId="1" fontId="90" fillId="57" borderId="10" xfId="78" applyNumberFormat="1" applyFont="1" applyFill="1" applyBorder="1" applyAlignment="1" applyProtection="1">
      <alignment horizontal="center" vertical="center" wrapText="1"/>
      <protection locked="0"/>
    </xf>
    <xf numFmtId="0" fontId="88" fillId="30" borderId="10" xfId="77" applyFont="1" applyFill="1" applyBorder="1" applyAlignment="1">
      <alignment horizontal="center" vertical="center" wrapText="1"/>
    </xf>
    <xf numFmtId="0" fontId="88" fillId="39" borderId="10" xfId="77" applyFont="1" applyFill="1" applyBorder="1" applyAlignment="1">
      <alignment horizontal="center" vertical="center" wrapText="1"/>
    </xf>
    <xf numFmtId="0" fontId="88" fillId="50" borderId="10" xfId="77" applyFont="1" applyFill="1" applyBorder="1" applyAlignment="1">
      <alignment horizontal="center" vertical="center" wrapText="1"/>
    </xf>
    <xf numFmtId="0" fontId="88" fillId="38" borderId="10" xfId="69" applyFont="1" applyFill="1" applyBorder="1" applyAlignment="1">
      <alignment horizontal="center" vertical="center" wrapText="1"/>
    </xf>
    <xf numFmtId="1" fontId="90" fillId="49" borderId="10" xfId="40" applyNumberFormat="1" applyFont="1" applyFill="1" applyBorder="1" applyAlignment="1" applyProtection="1">
      <alignment horizontal="center" vertical="center" wrapText="1"/>
      <protection locked="0"/>
    </xf>
    <xf numFmtId="0" fontId="88" fillId="60" borderId="10" xfId="40" applyFont="1" applyFill="1" applyBorder="1" applyAlignment="1" applyProtection="1">
      <alignment horizontal="center" vertical="center" wrapText="1"/>
      <protection locked="0"/>
    </xf>
    <xf numFmtId="0" fontId="88" fillId="51" borderId="10" xfId="77" applyFont="1" applyFill="1" applyBorder="1" applyAlignment="1">
      <alignment horizontal="center" vertical="center" wrapText="1"/>
    </xf>
    <xf numFmtId="0" fontId="89" fillId="43" borderId="10" xfId="77" applyFont="1" applyFill="1" applyBorder="1" applyAlignment="1">
      <alignment horizontal="center" vertical="center" wrapText="1"/>
    </xf>
    <xf numFmtId="0" fontId="113" fillId="52" borderId="10" xfId="40" applyFont="1" applyFill="1" applyBorder="1" applyAlignment="1" applyProtection="1">
      <alignment horizontal="center" vertical="center" wrapText="1"/>
      <protection locked="0"/>
    </xf>
    <xf numFmtId="0" fontId="90" fillId="36" borderId="10" xfId="40" applyFont="1" applyFill="1" applyBorder="1" applyAlignment="1" applyProtection="1">
      <alignment horizontal="center" vertical="center" wrapText="1"/>
      <protection locked="0"/>
    </xf>
    <xf numFmtId="1" fontId="88" fillId="59" borderId="10" xfId="40" applyNumberFormat="1" applyFont="1" applyFill="1" applyBorder="1" applyAlignment="1" applyProtection="1">
      <alignment horizontal="center" vertical="center" wrapText="1"/>
      <protection locked="0"/>
    </xf>
    <xf numFmtId="0" fontId="88" fillId="41" borderId="26" xfId="81" applyFont="1" applyFill="1" applyBorder="1" applyAlignment="1">
      <alignment horizontal="center" vertical="center" wrapText="1"/>
    </xf>
    <xf numFmtId="0" fontId="88" fillId="41" borderId="17" xfId="81" applyFont="1" applyFill="1" applyBorder="1" applyAlignment="1">
      <alignment horizontal="center" vertical="center" wrapText="1"/>
    </xf>
    <xf numFmtId="0" fontId="88" fillId="47" borderId="73" xfId="81" applyFont="1" applyFill="1" applyBorder="1" applyAlignment="1">
      <alignment horizontal="center" vertical="center" wrapText="1"/>
    </xf>
    <xf numFmtId="0" fontId="88" fillId="47" borderId="11" xfId="81" applyFont="1" applyFill="1" applyBorder="1" applyAlignment="1">
      <alignment horizontal="center" vertical="center" wrapText="1"/>
    </xf>
    <xf numFmtId="1" fontId="45" fillId="66" borderId="73" xfId="40" applyNumberFormat="1" applyFont="1" applyFill="1" applyBorder="1" applyAlignment="1" applyProtection="1">
      <alignment horizontal="center" vertical="center" wrapText="1"/>
      <protection locked="0"/>
    </xf>
    <xf numFmtId="1" fontId="45" fillId="66" borderId="11" xfId="40" applyNumberFormat="1" applyFont="1" applyFill="1" applyBorder="1" applyAlignment="1" applyProtection="1">
      <alignment horizontal="center" vertical="center" wrapText="1"/>
      <protection locked="0"/>
    </xf>
    <xf numFmtId="1" fontId="13" fillId="0" borderId="26" xfId="40" applyNumberFormat="1" applyFont="1" applyFill="1" applyBorder="1" applyAlignment="1" applyProtection="1">
      <alignment horizontal="center" vertical="center" wrapText="1"/>
      <protection locked="0"/>
    </xf>
    <xf numFmtId="0" fontId="88" fillId="40" borderId="26" xfId="69" applyFont="1" applyFill="1" applyBorder="1" applyAlignment="1">
      <alignment horizontal="center" vertical="center" wrapText="1"/>
    </xf>
    <xf numFmtId="1" fontId="90" fillId="57" borderId="73" xfId="82" applyNumberFormat="1" applyFont="1" applyFill="1" applyBorder="1" applyAlignment="1" applyProtection="1">
      <alignment horizontal="center" vertical="center" wrapText="1"/>
      <protection locked="0"/>
    </xf>
    <xf numFmtId="1" fontId="90" fillId="57" borderId="11" xfId="82" applyNumberFormat="1" applyFont="1" applyFill="1" applyBorder="1" applyAlignment="1" applyProtection="1">
      <alignment horizontal="center" vertical="center" wrapText="1"/>
      <protection locked="0"/>
    </xf>
    <xf numFmtId="0" fontId="88" fillId="30" borderId="26" xfId="81" applyFont="1" applyFill="1" applyBorder="1" applyAlignment="1">
      <alignment horizontal="center" vertical="center" wrapText="1"/>
    </xf>
    <xf numFmtId="0" fontId="88" fillId="30" borderId="17" xfId="81" applyFont="1" applyFill="1" applyBorder="1" applyAlignment="1">
      <alignment horizontal="center" vertical="center" wrapText="1"/>
    </xf>
    <xf numFmtId="0" fontId="88" fillId="41" borderId="73" xfId="81" applyFont="1" applyFill="1" applyBorder="1" applyAlignment="1">
      <alignment horizontal="center" vertical="center" wrapText="1"/>
    </xf>
    <xf numFmtId="0" fontId="88" fillId="41" borderId="11" xfId="81" applyFont="1" applyFill="1" applyBorder="1" applyAlignment="1">
      <alignment horizontal="center" vertical="center" wrapText="1"/>
    </xf>
    <xf numFmtId="0" fontId="88" fillId="30" borderId="73" xfId="81" applyFont="1" applyFill="1" applyBorder="1" applyAlignment="1">
      <alignment horizontal="center" vertical="center" wrapText="1"/>
    </xf>
    <xf numFmtId="0" fontId="88" fillId="30" borderId="11" xfId="81" applyFont="1" applyFill="1" applyBorder="1" applyAlignment="1">
      <alignment horizontal="center" vertical="center" wrapText="1"/>
    </xf>
    <xf numFmtId="0" fontId="88" fillId="39" borderId="73" xfId="81" applyFont="1" applyFill="1" applyBorder="1" applyAlignment="1">
      <alignment horizontal="center" vertical="center" wrapText="1"/>
    </xf>
    <xf numFmtId="0" fontId="88" fillId="39" borderId="11" xfId="81" applyFont="1" applyFill="1" applyBorder="1" applyAlignment="1">
      <alignment horizontal="center" vertical="center" wrapText="1"/>
    </xf>
    <xf numFmtId="0" fontId="88" fillId="50" borderId="73" xfId="81" applyFont="1" applyFill="1" applyBorder="1" applyAlignment="1">
      <alignment horizontal="center" vertical="center" wrapText="1"/>
    </xf>
    <xf numFmtId="0" fontId="88" fillId="50" borderId="10" xfId="81" applyFont="1" applyFill="1" applyBorder="1" applyAlignment="1">
      <alignment horizontal="center" vertical="center" wrapText="1"/>
    </xf>
    <xf numFmtId="0" fontId="88" fillId="50" borderId="11" xfId="81" applyFont="1" applyFill="1" applyBorder="1" applyAlignment="1">
      <alignment horizontal="center" vertical="center" wrapText="1"/>
    </xf>
    <xf numFmtId="0" fontId="88" fillId="38" borderId="26" xfId="69" applyFont="1" applyFill="1" applyBorder="1" applyAlignment="1">
      <alignment horizontal="center" vertical="center" wrapText="1"/>
    </xf>
    <xf numFmtId="0" fontId="88" fillId="38" borderId="17" xfId="69" applyFont="1" applyFill="1" applyBorder="1" applyAlignment="1">
      <alignment horizontal="center" vertical="center" wrapText="1"/>
    </xf>
    <xf numFmtId="1" fontId="90" fillId="49" borderId="73" xfId="40" applyNumberFormat="1" applyFont="1" applyFill="1" applyBorder="1" applyAlignment="1" applyProtection="1">
      <alignment horizontal="center" vertical="center" wrapText="1"/>
      <protection locked="0"/>
    </xf>
    <xf numFmtId="1" fontId="90" fillId="49" borderId="11" xfId="40" applyNumberFormat="1" applyFont="1" applyFill="1" applyBorder="1" applyAlignment="1" applyProtection="1">
      <alignment horizontal="center" vertical="center" wrapText="1"/>
      <protection locked="0"/>
    </xf>
    <xf numFmtId="0" fontId="88" fillId="40" borderId="17" xfId="69" applyFont="1" applyFill="1" applyBorder="1" applyAlignment="1">
      <alignment horizontal="center" vertical="center" wrapText="1"/>
    </xf>
    <xf numFmtId="0" fontId="88" fillId="47" borderId="10" xfId="81" applyFont="1" applyFill="1" applyBorder="1" applyAlignment="1">
      <alignment horizontal="center" vertical="center" wrapText="1"/>
    </xf>
    <xf numFmtId="0" fontId="88" fillId="60" borderId="26" xfId="40" applyFont="1" applyFill="1" applyBorder="1" applyAlignment="1" applyProtection="1">
      <alignment horizontal="center" vertical="center" wrapText="1"/>
      <protection locked="0"/>
    </xf>
    <xf numFmtId="0" fontId="88" fillId="60" borderId="17" xfId="40" applyFont="1" applyFill="1" applyBorder="1" applyAlignment="1" applyProtection="1">
      <alignment horizontal="center" vertical="center" wrapText="1"/>
      <protection locked="0"/>
    </xf>
    <xf numFmtId="0" fontId="88" fillId="51" borderId="26" xfId="81" applyFont="1" applyFill="1" applyBorder="1" applyAlignment="1">
      <alignment horizontal="center" vertical="center" wrapText="1"/>
    </xf>
    <xf numFmtId="0" fontId="88" fillId="51" borderId="17" xfId="81" applyFont="1" applyFill="1" applyBorder="1" applyAlignment="1">
      <alignment horizontal="center" vertical="center" wrapText="1"/>
    </xf>
    <xf numFmtId="0" fontId="89" fillId="43" borderId="10" xfId="81" applyFont="1" applyFill="1" applyBorder="1" applyAlignment="1">
      <alignment horizontal="center" vertical="center" wrapText="1"/>
    </xf>
    <xf numFmtId="0" fontId="89" fillId="43" borderId="17" xfId="81" applyFont="1" applyFill="1" applyBorder="1" applyAlignment="1">
      <alignment horizontal="center" vertical="center" wrapText="1"/>
    </xf>
    <xf numFmtId="0" fontId="113" fillId="52" borderId="73" xfId="40" applyFont="1" applyFill="1" applyBorder="1" applyAlignment="1" applyProtection="1">
      <alignment horizontal="center" vertical="center" wrapText="1"/>
      <protection locked="0"/>
    </xf>
    <xf numFmtId="1" fontId="88" fillId="59" borderId="11" xfId="40" applyNumberFormat="1" applyFont="1" applyFill="1" applyBorder="1" applyAlignment="1" applyProtection="1">
      <alignment horizontal="center" vertical="center" wrapText="1"/>
      <protection locked="0"/>
    </xf>
    <xf numFmtId="1" fontId="90" fillId="49" borderId="10" xfId="0" applyNumberFormat="1" applyFont="1" applyFill="1" applyBorder="1" applyAlignment="1" applyProtection="1">
      <alignment horizontal="center" vertical="center" wrapText="1"/>
      <protection locked="0"/>
    </xf>
    <xf numFmtId="0" fontId="89" fillId="43" borderId="73" xfId="41" applyFont="1" applyFill="1" applyBorder="1" applyAlignment="1">
      <alignment horizontal="center" vertical="center" wrapText="1"/>
    </xf>
    <xf numFmtId="0" fontId="89" fillId="43" borderId="10" xfId="41" applyFont="1" applyFill="1" applyBorder="1" applyAlignment="1">
      <alignment horizontal="center" vertical="center" wrapText="1"/>
    </xf>
    <xf numFmtId="0" fontId="113" fillId="52" borderId="10" xfId="0" applyFont="1" applyFill="1" applyBorder="1" applyAlignment="1" applyProtection="1">
      <alignment horizontal="center" vertical="center" wrapText="1"/>
      <protection locked="0"/>
    </xf>
    <xf numFmtId="0" fontId="128" fillId="36" borderId="10" xfId="0" applyFont="1" applyFill="1" applyBorder="1" applyAlignment="1" applyProtection="1">
      <alignment horizontal="center" vertical="center" wrapText="1"/>
      <protection locked="0"/>
    </xf>
    <xf numFmtId="1" fontId="88" fillId="59" borderId="10" xfId="0" applyNumberFormat="1" applyFont="1" applyFill="1" applyBorder="1" applyAlignment="1" applyProtection="1">
      <alignment horizontal="center" vertical="center" wrapText="1"/>
      <protection locked="0"/>
    </xf>
    <xf numFmtId="0" fontId="88" fillId="51" borderId="10" xfId="41" applyFont="1" applyFill="1" applyBorder="1" applyAlignment="1">
      <alignment horizontal="center" vertical="center" wrapText="1"/>
    </xf>
    <xf numFmtId="0" fontId="88" fillId="50" borderId="10" xfId="41" applyFont="1" applyFill="1" applyBorder="1" applyAlignment="1">
      <alignment horizontal="center" vertical="center" wrapText="1"/>
    </xf>
    <xf numFmtId="0" fontId="88" fillId="30" borderId="10" xfId="41" applyFont="1" applyFill="1" applyBorder="1" applyAlignment="1">
      <alignment horizontal="center" vertical="center" wrapText="1"/>
    </xf>
    <xf numFmtId="0" fontId="88" fillId="47" borderId="10" xfId="41" applyFont="1" applyFill="1" applyBorder="1" applyAlignment="1">
      <alignment horizontal="center" vertical="center" wrapText="1"/>
    </xf>
    <xf numFmtId="0" fontId="88" fillId="60" borderId="10" xfId="0" applyFont="1" applyFill="1" applyBorder="1" applyAlignment="1" applyProtection="1">
      <alignment horizontal="center" vertical="center" wrapText="1"/>
      <protection locked="0"/>
    </xf>
    <xf numFmtId="1" fontId="90" fillId="57" borderId="10" xfId="62" applyNumberFormat="1" applyFont="1" applyFill="1" applyBorder="1" applyAlignment="1" applyProtection="1">
      <alignment horizontal="center" vertical="center" wrapText="1"/>
      <protection locked="0"/>
    </xf>
    <xf numFmtId="0" fontId="88" fillId="39" borderId="10" xfId="41" applyFont="1" applyFill="1" applyBorder="1" applyAlignment="1">
      <alignment horizontal="center" vertical="center" wrapText="1"/>
    </xf>
    <xf numFmtId="0" fontId="88" fillId="41" borderId="10" xfId="41" applyFont="1" applyFill="1" applyBorder="1" applyAlignment="1">
      <alignment horizontal="center" vertical="center" wrapText="1"/>
    </xf>
    <xf numFmtId="1" fontId="13" fillId="0" borderId="10" xfId="0" applyNumberFormat="1" applyFont="1" applyFill="1" applyBorder="1" applyAlignment="1" applyProtection="1">
      <alignment horizontal="center" vertical="center" wrapText="1"/>
      <protection locked="0"/>
    </xf>
    <xf numFmtId="1" fontId="13" fillId="0" borderId="11" xfId="0" applyNumberFormat="1" applyFont="1" applyFill="1" applyBorder="1" applyAlignment="1" applyProtection="1">
      <alignment horizontal="center" vertical="center" wrapText="1"/>
      <protection locked="0"/>
    </xf>
    <xf numFmtId="1" fontId="129" fillId="35" borderId="10" xfId="0" applyNumberFormat="1" applyFont="1" applyFill="1" applyBorder="1" applyAlignment="1" applyProtection="1">
      <alignment horizontal="center" vertical="center" wrapText="1"/>
      <protection locked="0"/>
    </xf>
    <xf numFmtId="0" fontId="92" fillId="49" borderId="10" xfId="0" applyFont="1" applyFill="1" applyBorder="1" applyAlignment="1" applyProtection="1">
      <alignment horizontal="center" vertical="center" wrapText="1"/>
      <protection locked="0"/>
    </xf>
    <xf numFmtId="1" fontId="45" fillId="66" borderId="10" xfId="0" applyNumberFormat="1" applyFont="1" applyFill="1" applyBorder="1" applyAlignment="1" applyProtection="1">
      <alignment horizontal="center" vertical="center" wrapText="1"/>
      <protection locked="0"/>
    </xf>
    <xf numFmtId="171" fontId="131" fillId="0" borderId="12" xfId="0" applyNumberFormat="1" applyFont="1" applyBorder="1"/>
    <xf numFmtId="0" fontId="131" fillId="0" borderId="12" xfId="0" applyFont="1" applyBorder="1"/>
    <xf numFmtId="1" fontId="130" fillId="35" borderId="12" xfId="0" applyNumberFormat="1" applyFont="1" applyFill="1" applyBorder="1" applyAlignment="1" applyProtection="1">
      <alignment horizontal="center" vertical="center" wrapText="1"/>
      <protection locked="0"/>
    </xf>
    <xf numFmtId="1" fontId="50" fillId="35" borderId="59" xfId="0" applyNumberFormat="1" applyFont="1" applyFill="1" applyBorder="1" applyAlignment="1" applyProtection="1">
      <alignment horizontal="center" vertical="center" wrapText="1"/>
      <protection locked="0"/>
    </xf>
    <xf numFmtId="173" fontId="47" fillId="0" borderId="51" xfId="41" applyNumberFormat="1" applyFont="1" applyBorder="1"/>
    <xf numFmtId="173" fontId="47" fillId="0" borderId="18" xfId="41" applyNumberFormat="1" applyFont="1" applyBorder="1"/>
    <xf numFmtId="173" fontId="47" fillId="0" borderId="79" xfId="41" applyNumberFormat="1" applyFont="1" applyBorder="1"/>
    <xf numFmtId="173" fontId="48" fillId="0" borderId="50" xfId="41" applyNumberFormat="1" applyFont="1" applyBorder="1"/>
    <xf numFmtId="167" fontId="48" fillId="0" borderId="13" xfId="41" applyNumberFormat="1" applyFont="1" applyBorder="1"/>
    <xf numFmtId="167" fontId="48" fillId="0" borderId="75" xfId="41" applyNumberFormat="1" applyFont="1" applyBorder="1"/>
    <xf numFmtId="0" fontId="13" fillId="48" borderId="58" xfId="0" applyFont="1" applyFill="1" applyBorder="1" applyAlignment="1">
      <alignment horizontal="center" vertical="center" wrapText="1"/>
    </xf>
    <xf numFmtId="1" fontId="50" fillId="35" borderId="34" xfId="0" applyNumberFormat="1" applyFont="1" applyFill="1" applyBorder="1" applyAlignment="1" applyProtection="1">
      <alignment horizontal="center" vertical="center" wrapText="1"/>
      <protection locked="0"/>
    </xf>
    <xf numFmtId="167" fontId="48" fillId="0" borderId="19" xfId="41" applyNumberFormat="1" applyFont="1" applyBorder="1"/>
    <xf numFmtId="167" fontId="48" fillId="0" borderId="59" xfId="41" applyNumberFormat="1" applyFont="1" applyBorder="1"/>
    <xf numFmtId="3" fontId="47" fillId="0" borderId="99" xfId="41" applyNumberFormat="1" applyFont="1" applyBorder="1"/>
    <xf numFmtId="3" fontId="47" fillId="0" borderId="66" xfId="41" applyNumberFormat="1" applyFont="1" applyBorder="1"/>
    <xf numFmtId="3" fontId="47" fillId="0" borderId="72" xfId="41" applyNumberFormat="1" applyFont="1" applyBorder="1"/>
    <xf numFmtId="3" fontId="47" fillId="0" borderId="12" xfId="41" applyNumberFormat="1" applyFont="1" applyBorder="1"/>
    <xf numFmtId="3" fontId="47" fillId="0" borderId="68" xfId="41" applyNumberFormat="1" applyFont="1" applyBorder="1"/>
    <xf numFmtId="3" fontId="47" fillId="0" borderId="70" xfId="41" applyNumberFormat="1" applyFont="1" applyBorder="1"/>
    <xf numFmtId="3" fontId="47" fillId="0" borderId="58" xfId="36" applyNumberFormat="1" applyFont="1" applyBorder="1"/>
    <xf numFmtId="3" fontId="47" fillId="0" borderId="34" xfId="36" applyNumberFormat="1" applyFont="1" applyBorder="1"/>
  </cellXfs>
  <cellStyles count="90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Millares" xfId="32" builtinId="3"/>
    <cellStyle name="Millares 2" xfId="33"/>
    <cellStyle name="Millares 2 2" xfId="34"/>
    <cellStyle name="Millares 3" xfId="35"/>
    <cellStyle name="Millares 3 2" xfId="36"/>
    <cellStyle name="Millares 3 3" xfId="64"/>
    <cellStyle name="Millares 3 4" xfId="71"/>
    <cellStyle name="Millares 3 5" xfId="75"/>
    <cellStyle name="Millares 3 6" xfId="79"/>
    <cellStyle name="Millares 3 7" xfId="83"/>
    <cellStyle name="Millares 3 8" xfId="88"/>
    <cellStyle name="Millares 4" xfId="65"/>
    <cellStyle name="Millares_COBERTURAS DEPARTAMENTALES y MUNICIPALES_AÑO2009" xfId="37"/>
    <cellStyle name="Millares_CONTROL DOSIS Y PORCENTAJES POR MES" xfId="38"/>
    <cellStyle name="Neutral" xfId="39" builtinId="28" customBuiltin="1"/>
    <cellStyle name="Normal" xfId="0" builtinId="0"/>
    <cellStyle name="Normal 2" xfId="40"/>
    <cellStyle name="Normal 2 2" xfId="66"/>
    <cellStyle name="Normal 3" xfId="41"/>
    <cellStyle name="Normal 3 2" xfId="42"/>
    <cellStyle name="Normal 3 2 2" xfId="63"/>
    <cellStyle name="Normal 3 2 3" xfId="72"/>
    <cellStyle name="Normal 3 2 4" xfId="76"/>
    <cellStyle name="Normal 3 2 5" xfId="80"/>
    <cellStyle name="Normal 3 2 6" xfId="84"/>
    <cellStyle name="Normal 3 2 7" xfId="89"/>
    <cellStyle name="Normal 3 3" xfId="61"/>
    <cellStyle name="Normal 3 4" xfId="68"/>
    <cellStyle name="Normal 3 5" xfId="73"/>
    <cellStyle name="Normal 3 6" xfId="77"/>
    <cellStyle name="Normal 3 7" xfId="81"/>
    <cellStyle name="Normal 3 8" xfId="86"/>
    <cellStyle name="Normal 3 9" xfId="85"/>
    <cellStyle name="Normal 4" xfId="43"/>
    <cellStyle name="Normal 5" xfId="62"/>
    <cellStyle name="Normal 5 2" xfId="70"/>
    <cellStyle name="Normal 5 3" xfId="74"/>
    <cellStyle name="Normal 5 4" xfId="78"/>
    <cellStyle name="Normal 5 5" xfId="82"/>
    <cellStyle name="Normal 5 6" xfId="87"/>
    <cellStyle name="Normal_COBERTURAS DEPARTAMENTALES y MUNICIPALES_AÑO2009" xfId="44"/>
    <cellStyle name="Normal_CONTROL DOSIS Y PORCENTAJES POR MES" xfId="45"/>
    <cellStyle name="Normal_CONTROL DOSIS Y PORCENTAJES POR MES_12 DICIEMBRE DPTAL y MCPAL2009" xfId="46"/>
    <cellStyle name="Normal_CONTROL DOSIS Y PORCENTAJES POR MES_12 DICIEMBRE DPTAL y MCPAL2009 2" xfId="69"/>
    <cellStyle name="Normal_Hoja1" xfId="47"/>
    <cellStyle name="Normal_Hoja4" xfId="48"/>
    <cellStyle name="Normal_Poblacion Mpios 1995-2010 V2" xfId="49"/>
    <cellStyle name="Notas" xfId="50" builtinId="10" customBuiltin="1"/>
    <cellStyle name="Porcentaje" xfId="51" builtinId="5"/>
    <cellStyle name="Porcentual 2" xfId="52"/>
    <cellStyle name="Porcentual 2 2" xfId="67"/>
    <cellStyle name="Salida" xfId="53" builtinId="21" customBuiltin="1"/>
    <cellStyle name="Texto de advertencia" xfId="54" builtinId="11" customBuiltin="1"/>
    <cellStyle name="Texto explicativo" xfId="55" builtinId="53" customBuiltin="1"/>
    <cellStyle name="Título" xfId="56" builtinId="15" customBuiltin="1"/>
    <cellStyle name="Título 1" xfId="57" builtinId="16" customBuiltin="1"/>
    <cellStyle name="Título 2" xfId="58" builtinId="17" customBuiltin="1"/>
    <cellStyle name="Título 3" xfId="59" builtinId="18" customBuiltin="1"/>
    <cellStyle name="Total" xfId="60" builtinId="25" customBuiltin="1"/>
  </cellStyles>
  <dxfs count="764"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66FF"/>
        </patternFill>
      </fill>
    </dxf>
    <dxf>
      <fill>
        <patternFill>
          <bgColor rgb="FFFF00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66FF"/>
        </patternFill>
      </fill>
    </dxf>
    <dxf>
      <fill>
        <patternFill>
          <bgColor rgb="FFFF00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66FF"/>
        </patternFill>
      </fill>
    </dxf>
    <dxf>
      <fill>
        <patternFill>
          <bgColor rgb="FFFF00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66FF"/>
        </patternFill>
      </fill>
    </dxf>
    <dxf>
      <fill>
        <patternFill>
          <bgColor rgb="FFFF00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66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CCFFFF"/>
      <color rgb="FFFFFFCC"/>
      <color rgb="FFFF66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2.xml"/><Relationship Id="rId36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tyles" Target="styles.xml"/><Relationship Id="rId35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445182724252275E-2"/>
          <c:y val="7.6315789473684212E-2"/>
          <c:w val="0.89700996677740852"/>
          <c:h val="0.74210526315790004"/>
        </c:manualLayout>
      </c:layout>
      <c:lineChart>
        <c:grouping val="standard"/>
        <c:varyColors val="0"/>
        <c:ser>
          <c:idx val="0"/>
          <c:order val="0"/>
          <c:tx>
            <c:v>ESPERADO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strLit>
              <c:ptCount val="12"/>
              <c:pt idx="0">
                <c:v>Ene</c:v>
              </c:pt>
              <c:pt idx="1">
                <c:v>Feb</c:v>
              </c:pt>
              <c:pt idx="2">
                <c:v>Mar</c:v>
              </c:pt>
              <c:pt idx="3">
                <c:v>Abr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Ago</c:v>
              </c:pt>
              <c:pt idx="8">
                <c:v>Sept</c:v>
              </c:pt>
              <c:pt idx="9">
                <c:v>Oct</c:v>
              </c:pt>
              <c:pt idx="10">
                <c:v>Nov</c:v>
              </c:pt>
              <c:pt idx="11">
                <c:v>Dic</c:v>
              </c:pt>
            </c:strLit>
          </c:cat>
          <c:val>
            <c:numLit>
              <c:formatCode>General</c:formatCode>
              <c:ptCount val="12"/>
              <c:pt idx="0">
                <c:v>7.9</c:v>
              </c:pt>
              <c:pt idx="1">
                <c:v>15.8</c:v>
              </c:pt>
              <c:pt idx="2">
                <c:v>23.700000000000003</c:v>
              </c:pt>
              <c:pt idx="3">
                <c:v>31.6</c:v>
              </c:pt>
              <c:pt idx="4">
                <c:v>39.5</c:v>
              </c:pt>
              <c:pt idx="5">
                <c:v>47.400000000000006</c:v>
              </c:pt>
              <c:pt idx="6">
                <c:v>55.300000000000004</c:v>
              </c:pt>
              <c:pt idx="7">
                <c:v>63.2</c:v>
              </c:pt>
              <c:pt idx="8">
                <c:v>71.100000000000009</c:v>
              </c:pt>
              <c:pt idx="9">
                <c:v>79</c:v>
              </c:pt>
              <c:pt idx="10">
                <c:v>86.9</c:v>
              </c:pt>
              <c:pt idx="11">
                <c:v>94.800000000000011</c:v>
              </c:pt>
            </c:numLit>
          </c:val>
          <c:smooth val="0"/>
        </c:ser>
        <c:ser>
          <c:idx val="1"/>
          <c:order val="1"/>
          <c:tx>
            <c:v>2007</c:v>
          </c:tx>
          <c:marker>
            <c:symbol val="none"/>
          </c:marker>
          <c:cat>
            <c:strLit>
              <c:ptCount val="12"/>
              <c:pt idx="0">
                <c:v>Ene</c:v>
              </c:pt>
              <c:pt idx="1">
                <c:v>Feb</c:v>
              </c:pt>
              <c:pt idx="2">
                <c:v>Mar</c:v>
              </c:pt>
              <c:pt idx="3">
                <c:v>Abr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Ago</c:v>
              </c:pt>
              <c:pt idx="8">
                <c:v>Sept</c:v>
              </c:pt>
              <c:pt idx="9">
                <c:v>Oct</c:v>
              </c:pt>
              <c:pt idx="10">
                <c:v>Nov</c:v>
              </c:pt>
              <c:pt idx="11">
                <c:v>Dic</c:v>
              </c:pt>
            </c:strLit>
          </c:cat>
          <c:val>
            <c:numLit>
              <c:formatCode>General</c:formatCode>
              <c:ptCount val="12"/>
              <c:pt idx="0">
                <c:v>7.4</c:v>
              </c:pt>
              <c:pt idx="1">
                <c:v>14.6</c:v>
              </c:pt>
              <c:pt idx="2">
                <c:v>22.3</c:v>
              </c:pt>
              <c:pt idx="3">
                <c:v>31.7</c:v>
              </c:pt>
              <c:pt idx="4">
                <c:v>39.4</c:v>
              </c:pt>
              <c:pt idx="5">
                <c:v>47.1</c:v>
              </c:pt>
              <c:pt idx="6">
                <c:v>55.6</c:v>
              </c:pt>
              <c:pt idx="7">
                <c:v>63.5</c:v>
              </c:pt>
              <c:pt idx="8">
                <c:v>71.900000000000006</c:v>
              </c:pt>
              <c:pt idx="9">
                <c:v>78.900000000000006</c:v>
              </c:pt>
              <c:pt idx="10">
                <c:v>86</c:v>
              </c:pt>
              <c:pt idx="11">
                <c:v>92.8</c:v>
              </c:pt>
            </c:numLit>
          </c:val>
          <c:smooth val="0"/>
        </c:ser>
        <c:ser>
          <c:idx val="2"/>
          <c:order val="2"/>
          <c:tx>
            <c:v>2008</c:v>
          </c:tx>
          <c:spPr>
            <a:ln w="254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strLit>
              <c:ptCount val="12"/>
              <c:pt idx="0">
                <c:v>Ene</c:v>
              </c:pt>
              <c:pt idx="1">
                <c:v>Feb</c:v>
              </c:pt>
              <c:pt idx="2">
                <c:v>Mar</c:v>
              </c:pt>
              <c:pt idx="3">
                <c:v>Abr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Ago</c:v>
              </c:pt>
              <c:pt idx="8">
                <c:v>Sept</c:v>
              </c:pt>
              <c:pt idx="9">
                <c:v>Oct</c:v>
              </c:pt>
              <c:pt idx="10">
                <c:v>Nov</c:v>
              </c:pt>
              <c:pt idx="11">
                <c:v>Dic</c:v>
              </c:pt>
            </c:strLit>
          </c:cat>
          <c:val>
            <c:numLit>
              <c:formatCode>General</c:formatCode>
              <c:ptCount val="12"/>
              <c:pt idx="0">
                <c:v>6.3</c:v>
              </c:pt>
              <c:pt idx="1">
                <c:v>12.5</c:v>
              </c:pt>
              <c:pt idx="2">
                <c:v>19.7</c:v>
              </c:pt>
              <c:pt idx="3">
                <c:v>28.3</c:v>
              </c:pt>
              <c:pt idx="4">
                <c:v>35.6</c:v>
              </c:pt>
              <c:pt idx="5">
                <c:v>43.9</c:v>
              </c:pt>
              <c:pt idx="6">
                <c:v>52.7</c:v>
              </c:pt>
              <c:pt idx="7">
                <c:v>60.1</c:v>
              </c:pt>
              <c:pt idx="8">
                <c:v>69.099999999999994</c:v>
              </c:pt>
              <c:pt idx="9">
                <c:v>76.099999999999994</c:v>
              </c:pt>
              <c:pt idx="10">
                <c:v>84.6</c:v>
              </c:pt>
              <c:pt idx="11">
                <c:v>92</c:v>
              </c:pt>
            </c:numLit>
          </c:val>
          <c:smooth val="0"/>
        </c:ser>
        <c:ser>
          <c:idx val="3"/>
          <c:order val="3"/>
          <c:tx>
            <c:v>2009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Lit>
              <c:ptCount val="12"/>
              <c:pt idx="0">
                <c:v>Ene</c:v>
              </c:pt>
              <c:pt idx="1">
                <c:v>Feb</c:v>
              </c:pt>
              <c:pt idx="2">
                <c:v>Mar</c:v>
              </c:pt>
              <c:pt idx="3">
                <c:v>Abr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Ago</c:v>
              </c:pt>
              <c:pt idx="8">
                <c:v>Sept</c:v>
              </c:pt>
              <c:pt idx="9">
                <c:v>Oct</c:v>
              </c:pt>
              <c:pt idx="10">
                <c:v>Nov</c:v>
              </c:pt>
              <c:pt idx="11">
                <c:v>Dic</c:v>
              </c:pt>
            </c:strLit>
          </c:cat>
          <c:val>
            <c:numLit>
              <c:formatCode>General</c:formatCode>
              <c:ptCount val="12"/>
              <c:pt idx="0">
                <c:v>6.9</c:v>
              </c:pt>
              <c:pt idx="1">
                <c:v>13.8</c:v>
              </c:pt>
              <c:pt idx="2">
                <c:v>21.2</c:v>
              </c:pt>
              <c:pt idx="3">
                <c:v>29.5</c:v>
              </c:pt>
              <c:pt idx="4">
                <c:v>36.9</c:v>
              </c:pt>
              <c:pt idx="5">
                <c:v>44</c:v>
              </c:pt>
              <c:pt idx="6">
                <c:v>52.7</c:v>
              </c:pt>
              <c:pt idx="7">
                <c:v>60.7</c:v>
              </c:pt>
              <c:pt idx="8">
                <c:v>68.599999999999994</c:v>
              </c:pt>
              <c:pt idx="9">
                <c:v>76</c:v>
              </c:pt>
              <c:pt idx="10">
                <c:v>83.5</c:v>
              </c:pt>
              <c:pt idx="11">
                <c:v>92.1</c:v>
              </c:pt>
            </c:numLit>
          </c:val>
          <c:smooth val="0"/>
        </c:ser>
        <c:ser>
          <c:idx val="4"/>
          <c:order val="4"/>
          <c:tx>
            <c:v>2010</c:v>
          </c:tx>
          <c:spPr>
            <a:ln w="25400">
              <a:solidFill>
                <a:srgbClr val="00CCFF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Lit>
              <c:formatCode>General</c:formatCode>
              <c:ptCount val="12"/>
              <c:pt idx="0">
                <c:v>6.8</c:v>
              </c:pt>
              <c:pt idx="1">
                <c:v>13.7</c:v>
              </c:pt>
              <c:pt idx="2">
                <c:v>21.5</c:v>
              </c:pt>
              <c:pt idx="3">
                <c:v>29.3</c:v>
              </c:pt>
              <c:pt idx="4">
                <c:v>36.700000000000003</c:v>
              </c:pt>
              <c:pt idx="5">
                <c:v>44.1</c:v>
              </c:pt>
              <c:pt idx="6">
                <c:v>51.5</c:v>
              </c:pt>
              <c:pt idx="7">
                <c:v>58.9</c:v>
              </c:pt>
              <c:pt idx="8">
                <c:v>66.599999999999994</c:v>
              </c:pt>
              <c:pt idx="9">
                <c:v>73.8</c:v>
              </c:pt>
              <c:pt idx="10">
                <c:v>81</c:v>
              </c:pt>
              <c:pt idx="11">
                <c:v>88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106880"/>
        <c:axId val="172108800"/>
      </c:lineChart>
      <c:catAx>
        <c:axId val="17210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172108800"/>
        <c:crosses val="autoZero"/>
        <c:auto val="1"/>
        <c:lblAlgn val="ctr"/>
        <c:lblOffset val="100"/>
        <c:noMultiLvlLbl val="0"/>
      </c:catAx>
      <c:valAx>
        <c:axId val="172108800"/>
        <c:scaling>
          <c:orientation val="minMax"/>
          <c:max val="9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172106880"/>
        <c:crosses val="autoZero"/>
        <c:crossBetween val="between"/>
        <c:majorUnit val="5"/>
        <c:minorUnit val="2"/>
      </c:valAx>
    </c:plotArea>
    <c:legend>
      <c:legendPos val="r"/>
      <c:layout>
        <c:manualLayout>
          <c:xMode val="edge"/>
          <c:yMode val="edge"/>
          <c:x val="0.188834078666996"/>
          <c:y val="0.93157894736842151"/>
          <c:w val="0.68221734478312157"/>
          <c:h val="5.2631578947368474E-2"/>
        </c:manualLayout>
      </c:layout>
      <c:overlay val="0"/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 alignWithMargins="0"/>
    <c:pageMargins b="0.75000000000000866" l="0.70000000000000062" r="0.70000000000000062" t="0.75000000000000866" header="0.30000000000000032" footer="0.30000000000000032"/>
    <c:pageSetup orientation="landscape" horizontalDpi="300" verticalDpi="3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'2016'!$K$64:$K$74</c:f>
              <c:strCache>
                <c:ptCount val="11"/>
                <c:pt idx="0">
                  <c:v>(VIP) PARENTERAL
&lt;  DE 1 AÑO 1a.Dosis</c:v>
                </c:pt>
                <c:pt idx="1">
                  <c:v>VOP
&lt;1 AÑO
3ras</c:v>
                </c:pt>
                <c:pt idx="2">
                  <c:v>DPT
&lt;1 AÑO
3ras</c:v>
                </c:pt>
                <c:pt idx="3">
                  <c:v>BCG
&lt;1 AÑO
- Unica</c:v>
                </c:pt>
                <c:pt idx="4">
                  <c:v>HB RECIEN NACIDO (HASTA 28 DÍAS)</c:v>
                </c:pt>
                <c:pt idx="5">
                  <c:v>Neumo (2 a 11 Meses 29 Dias) 2das</c:v>
                </c:pt>
                <c:pt idx="6">
                  <c:v>SRP (T.V.)
AÑO EDAD 
- Única</c:v>
                </c:pt>
                <c:pt idx="7">
                  <c:v>HA 1 AÑO Única</c:v>
                </c:pt>
                <c:pt idx="8">
                  <c:v>Neumo de (12 meses a 23 Meses) Ref.</c:v>
                </c:pt>
                <c:pt idx="9">
                  <c:v>SRP (T.V.) 5 Años Ref.</c:v>
                </c:pt>
                <c:pt idx="10">
                  <c:v>Cob. 
ESPERADA</c:v>
                </c:pt>
              </c:strCache>
            </c:strRef>
          </c:cat>
          <c:val>
            <c:numRef>
              <c:f>'2016'!$L$64:$L$74</c:f>
              <c:numCache>
                <c:formatCode>General</c:formatCode>
                <c:ptCount val="11"/>
              </c:numCache>
            </c:numRef>
          </c:val>
        </c:ser>
        <c:ser>
          <c:idx val="1"/>
          <c:order val="1"/>
          <c:invertIfNegative val="0"/>
          <c:dPt>
            <c:idx val="0"/>
            <c:invertIfNegative val="0"/>
            <c:bubble3D val="0"/>
            <c:spPr>
              <a:solidFill>
                <a:srgbClr val="FF00FF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FFCC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</c:spPr>
          </c:dPt>
          <c:dPt>
            <c:idx val="3"/>
            <c:invertIfNegative val="0"/>
            <c:bubble3D val="0"/>
            <c:spPr>
              <a:solidFill>
                <a:srgbClr val="CCFFCC"/>
              </a:solidFill>
            </c:spPr>
          </c:dPt>
          <c:dPt>
            <c:idx val="4"/>
            <c:invertIfNegative val="0"/>
            <c:bubble3D val="0"/>
            <c:spPr>
              <a:solidFill>
                <a:srgbClr val="FF99CC"/>
              </a:solidFill>
            </c:spPr>
          </c:dPt>
          <c:dPt>
            <c:idx val="5"/>
            <c:invertIfNegative val="0"/>
            <c:bubble3D val="0"/>
            <c:spPr>
              <a:solidFill>
                <a:srgbClr val="C0C0C0"/>
              </a:solidFill>
            </c:spPr>
          </c:dPt>
          <c:dPt>
            <c:idx val="6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</c:spPr>
          </c:dPt>
          <c:dPt>
            <c:idx val="8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</c:dPt>
          <c:dPt>
            <c:idx val="9"/>
            <c:invertIfNegative val="0"/>
            <c:bubble3D val="0"/>
            <c:spPr>
              <a:solidFill>
                <a:srgbClr val="009900"/>
              </a:solidFill>
            </c:spPr>
          </c:dPt>
          <c:dPt>
            <c:idx val="10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'2016'!$K$64:$K$74</c:f>
              <c:strCache>
                <c:ptCount val="11"/>
                <c:pt idx="0">
                  <c:v>(VIP) PARENTERAL
&lt;  DE 1 AÑO 1a.Dosis</c:v>
                </c:pt>
                <c:pt idx="1">
                  <c:v>VOP
&lt;1 AÑO
3ras</c:v>
                </c:pt>
                <c:pt idx="2">
                  <c:v>DPT
&lt;1 AÑO
3ras</c:v>
                </c:pt>
                <c:pt idx="3">
                  <c:v>BCG
&lt;1 AÑO
- Unica</c:v>
                </c:pt>
                <c:pt idx="4">
                  <c:v>HB RECIEN NACIDO (HASTA 28 DÍAS)</c:v>
                </c:pt>
                <c:pt idx="5">
                  <c:v>Neumo (2 a 11 Meses 29 Dias) 2das</c:v>
                </c:pt>
                <c:pt idx="6">
                  <c:v>SRP (T.V.)
AÑO EDAD 
- Única</c:v>
                </c:pt>
                <c:pt idx="7">
                  <c:v>HA 1 AÑO Única</c:v>
                </c:pt>
                <c:pt idx="8">
                  <c:v>Neumo de (12 meses a 23 Meses) Ref.</c:v>
                </c:pt>
                <c:pt idx="9">
                  <c:v>SRP (T.V.) 5 Años Ref.</c:v>
                </c:pt>
                <c:pt idx="10">
                  <c:v>Cob. 
ESPERADA</c:v>
                </c:pt>
              </c:strCache>
            </c:strRef>
          </c:cat>
          <c:val>
            <c:numRef>
              <c:f>'2016'!$M$64:$M$74</c:f>
              <c:numCache>
                <c:formatCode>_(* #,##0.0_);_(* \(#,##0.0\);_(* "-"??_);_(@_)</c:formatCode>
                <c:ptCount val="11"/>
                <c:pt idx="0">
                  <c:v>92.5</c:v>
                </c:pt>
                <c:pt idx="1">
                  <c:v>91.2</c:v>
                </c:pt>
                <c:pt idx="2">
                  <c:v>91.3</c:v>
                </c:pt>
                <c:pt idx="3">
                  <c:v>88.3</c:v>
                </c:pt>
                <c:pt idx="4" formatCode="#,##0.00_);\(#,##0.00\)">
                  <c:v>86.1</c:v>
                </c:pt>
                <c:pt idx="5" formatCode="#,##0.00_);\(#,##0.00\)">
                  <c:v>89.5</c:v>
                </c:pt>
                <c:pt idx="6">
                  <c:v>92.6</c:v>
                </c:pt>
                <c:pt idx="7" formatCode="#,##0.00_);\(#,##0.00\)">
                  <c:v>92.7</c:v>
                </c:pt>
                <c:pt idx="8" formatCode="#,##0.00_);\(#,##0.00\)">
                  <c:v>89.1</c:v>
                </c:pt>
                <c:pt idx="9">
                  <c:v>86.7</c:v>
                </c:pt>
                <c:pt idx="10" formatCode="0.0">
                  <c:v>99.96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447808"/>
        <c:axId val="171449344"/>
      </c:barChart>
      <c:catAx>
        <c:axId val="171447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s-CO"/>
          </a:p>
        </c:txPr>
        <c:crossAx val="171449344"/>
        <c:crosses val="autoZero"/>
        <c:auto val="1"/>
        <c:lblAlgn val="ctr"/>
        <c:lblOffset val="100"/>
        <c:noMultiLvlLbl val="0"/>
      </c:catAx>
      <c:valAx>
        <c:axId val="171449344"/>
        <c:scaling>
          <c:orientation val="minMax"/>
          <c:max val="100"/>
          <c:min val="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71447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688" l="0.70000000000000062" r="0.70000000000000062" t="0.7500000000000068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'2016'!$D$9</c:f>
              <c:strCache>
                <c:ptCount val="1"/>
                <c:pt idx="0">
                  <c:v>BCG RECIEN NACIDO (HASTA 29 DÍAS) + MENOR UN AÑO (A PARTIR DE 30 DIAS HASTA 11 MESES 29 DIAS)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66FF66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'2016'!$E$48</c:f>
              <c:numCache>
                <c:formatCode>#,##0.00_);\(#,##0.00\)</c:formatCode>
                <c:ptCount val="1"/>
                <c:pt idx="0">
                  <c:v>88.3</c:v>
                </c:pt>
              </c:numCache>
            </c:numRef>
          </c:val>
        </c:ser>
        <c:ser>
          <c:idx val="1"/>
          <c:order val="1"/>
          <c:tx>
            <c:strRef>
              <c:f>'2016'!$J$9</c:f>
              <c:strCache>
                <c:ptCount val="1"/>
                <c:pt idx="0">
                  <c:v>VOP &lt;DE1 AÑO + VIP &lt;1AÑO 3as</c:v>
                </c:pt>
              </c:strCache>
            </c:strRef>
          </c:tx>
          <c:spPr>
            <a:solidFill>
              <a:srgbClr val="FFFF66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'2016'!$K$48</c:f>
              <c:numCache>
                <c:formatCode>#,##0.00_);\(#,##0.00\)</c:formatCode>
                <c:ptCount val="1"/>
                <c:pt idx="0">
                  <c:v>91.2</c:v>
                </c:pt>
              </c:numCache>
            </c:numRef>
          </c:val>
        </c:ser>
        <c:ser>
          <c:idx val="2"/>
          <c:order val="2"/>
          <c:tx>
            <c:strRef>
              <c:f>'2016'!$P$9</c:f>
              <c:strCache>
                <c:ptCount val="1"/>
                <c:pt idx="0">
                  <c:v>PENTA MENOR DE UN AÑO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'2016'!$Q$48</c:f>
              <c:numCache>
                <c:formatCode>#,##0.00_);\(#,##0.00\)</c:formatCode>
                <c:ptCount val="1"/>
                <c:pt idx="0">
                  <c:v>91.3</c:v>
                </c:pt>
              </c:numCache>
            </c:numRef>
          </c:val>
        </c:ser>
        <c:ser>
          <c:idx val="3"/>
          <c:order val="3"/>
          <c:tx>
            <c:strRef>
              <c:f>'2016'!$T$9</c:f>
              <c:strCache>
                <c:ptCount val="1"/>
                <c:pt idx="0">
                  <c:v>ROTAVIRUS DE 4 A 11 MESES Y 29 DIAS</c:v>
                </c:pt>
              </c:strCache>
            </c:strRef>
          </c:tx>
          <c:spPr>
            <a:solidFill>
              <a:srgbClr val="66FFFF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'2016'!$U$48</c:f>
              <c:numCache>
                <c:formatCode>#,##0.00_);\(#,##0.00\)</c:formatCode>
                <c:ptCount val="1"/>
                <c:pt idx="0">
                  <c:v>90.1</c:v>
                </c:pt>
              </c:numCache>
            </c:numRef>
          </c:val>
        </c:ser>
        <c:ser>
          <c:idx val="4"/>
          <c:order val="4"/>
          <c:tx>
            <c:strRef>
              <c:f>'2016'!$AB$9</c:f>
              <c:strCache>
                <c:ptCount val="1"/>
                <c:pt idx="0">
                  <c:v>Neumo (2 a 11 Meses 29 Dias)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'2016'!$AC$48</c:f>
              <c:numCache>
                <c:formatCode>#,##0.00_);\(#,##0.00\)</c:formatCode>
                <c:ptCount val="1"/>
                <c:pt idx="0">
                  <c:v>89.5</c:v>
                </c:pt>
              </c:numCache>
            </c:numRef>
          </c:val>
        </c:ser>
        <c:ser>
          <c:idx val="5"/>
          <c:order val="5"/>
          <c:tx>
            <c:strRef>
              <c:f>'2016'!$AE$9</c:f>
              <c:strCache>
                <c:ptCount val="1"/>
                <c:pt idx="0">
                  <c:v>SRP (T.V.) DE UN AÑO</c:v>
                </c:pt>
              </c:strCache>
            </c:strRef>
          </c:tx>
          <c:spPr>
            <a:solidFill>
              <a:srgbClr val="0099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'2016'!$AF$48</c:f>
              <c:numCache>
                <c:formatCode>#,##0.00_);\(#,##0.00\)</c:formatCode>
                <c:ptCount val="1"/>
                <c:pt idx="0">
                  <c:v>92.6</c:v>
                </c:pt>
              </c:numCache>
            </c:numRef>
          </c:val>
        </c:ser>
        <c:ser>
          <c:idx val="6"/>
          <c:order val="6"/>
          <c:tx>
            <c:strRef>
              <c:f>'2016'!$AI$9</c:f>
              <c:strCache>
                <c:ptCount val="1"/>
                <c:pt idx="0">
                  <c:v>F.A. 1 AÑO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'2016'!$AJ$48</c:f>
              <c:numCache>
                <c:formatCode>#,##0.00_);\(#,##0.00\)</c:formatCode>
                <c:ptCount val="1"/>
                <c:pt idx="0">
                  <c:v>77.099999999999994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898048"/>
        <c:axId val="180908032"/>
      </c:barChart>
      <c:catAx>
        <c:axId val="180898048"/>
        <c:scaling>
          <c:orientation val="minMax"/>
        </c:scaling>
        <c:delete val="1"/>
        <c:axPos val="b"/>
        <c:majorTickMark val="out"/>
        <c:minorTickMark val="none"/>
        <c:tickLblPos val="nextTo"/>
        <c:crossAx val="180908032"/>
        <c:crosses val="autoZero"/>
        <c:auto val="1"/>
        <c:lblAlgn val="ctr"/>
        <c:lblOffset val="100"/>
        <c:noMultiLvlLbl val="0"/>
      </c:catAx>
      <c:valAx>
        <c:axId val="180908032"/>
        <c:scaling>
          <c:orientation val="minMax"/>
        </c:scaling>
        <c:delete val="0"/>
        <c:axPos val="l"/>
        <c:majorGridlines/>
        <c:numFmt formatCode="#,##0.00_);\(#,##0.00\)" sourceLinked="1"/>
        <c:majorTickMark val="out"/>
        <c:minorTickMark val="none"/>
        <c:tickLblPos val="nextTo"/>
        <c:crossAx val="180898048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700"/>
          </a:pPr>
          <a:endParaRPr lang="es-CO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F66FF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FF99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</c:dPt>
          <c:dPt>
            <c:idx val="3"/>
            <c:invertIfNegative val="0"/>
            <c:bubble3D val="0"/>
            <c:spPr>
              <a:solidFill>
                <a:srgbClr val="CCFFCC"/>
              </a:solidFill>
            </c:spPr>
          </c:dPt>
          <c:dPt>
            <c:idx val="4"/>
            <c:invertIfNegative val="0"/>
            <c:bubble3D val="0"/>
            <c:spPr>
              <a:solidFill>
                <a:srgbClr val="FF99CC"/>
              </a:solidFill>
            </c:spPr>
          </c:dPt>
          <c:dPt>
            <c:idx val="5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bg1">
                    <a:lumMod val="65000"/>
                  </a:schemeClr>
                </a:solidFill>
              </a:ln>
            </c:spPr>
          </c:dPt>
          <c:dPt>
            <c:idx val="6"/>
            <c:invertIfNegative val="0"/>
            <c:bubble3D val="0"/>
            <c:spPr>
              <a:solidFill>
                <a:srgbClr val="009900"/>
              </a:solidFill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</c:spPr>
          </c:dPt>
          <c:dPt>
            <c:idx val="8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</c:dPt>
          <c:dPt>
            <c:idx val="9"/>
            <c:invertIfNegative val="0"/>
            <c:bubble3D val="0"/>
            <c:spPr>
              <a:solidFill>
                <a:srgbClr val="009900"/>
              </a:solidFill>
            </c:spPr>
          </c:dPt>
          <c:dPt>
            <c:idx val="10"/>
            <c:invertIfNegative val="0"/>
            <c:bubble3D val="0"/>
            <c:spPr>
              <a:solidFill>
                <a:srgbClr val="0070C0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'2017'!$O$58:$O$68</c:f>
              <c:strCache>
                <c:ptCount val="11"/>
                <c:pt idx="0">
                  <c:v>BCG
&lt;1 AÑO
- Unica</c:v>
                </c:pt>
                <c:pt idx="1">
                  <c:v>HB RECIEN NACIDO (HASTA 28 DÍAS)</c:v>
                </c:pt>
                <c:pt idx="2">
                  <c:v>(VIP) PARENTERAL
&lt;  DE 1 AÑO 1a.Dosis</c:v>
                </c:pt>
                <c:pt idx="3">
                  <c:v>VOP
&lt;1 AÑO
3ras</c:v>
                </c:pt>
                <c:pt idx="4">
                  <c:v>DPT
&lt;1 AÑO
3ras</c:v>
                </c:pt>
                <c:pt idx="5">
                  <c:v>Neumo (2 a 11 Meses 29 Dias) 2das</c:v>
                </c:pt>
                <c:pt idx="6">
                  <c:v>SRP (T.V.)
AÑO EDAD 
- Única</c:v>
                </c:pt>
                <c:pt idx="7">
                  <c:v>Neumo de (12 meses a 23 Meses) Ref.</c:v>
                </c:pt>
                <c:pt idx="8">
                  <c:v>HA 1 AÑO Única</c:v>
                </c:pt>
                <c:pt idx="9">
                  <c:v>SRP (T.V.) 5 Años Ref.</c:v>
                </c:pt>
                <c:pt idx="10">
                  <c:v>Cob. ESPERADA (95%)</c:v>
                </c:pt>
              </c:strCache>
            </c:strRef>
          </c:cat>
          <c:val>
            <c:numRef>
              <c:f>'2017'!$R$58:$R$68</c:f>
              <c:numCache>
                <c:formatCode>0.00</c:formatCode>
                <c:ptCount val="11"/>
                <c:pt idx="0">
                  <c:v>91.5</c:v>
                </c:pt>
                <c:pt idx="1">
                  <c:v>89.3</c:v>
                </c:pt>
                <c:pt idx="2">
                  <c:v>93.7</c:v>
                </c:pt>
                <c:pt idx="3">
                  <c:v>91.7</c:v>
                </c:pt>
                <c:pt idx="4">
                  <c:v>91.6</c:v>
                </c:pt>
                <c:pt idx="5">
                  <c:v>93</c:v>
                </c:pt>
                <c:pt idx="6">
                  <c:v>93.1</c:v>
                </c:pt>
                <c:pt idx="7">
                  <c:v>91.4</c:v>
                </c:pt>
                <c:pt idx="8">
                  <c:v>91.4</c:v>
                </c:pt>
                <c:pt idx="9">
                  <c:v>89.4</c:v>
                </c:pt>
                <c:pt idx="10">
                  <c:v>95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523776"/>
        <c:axId val="180525312"/>
      </c:barChart>
      <c:catAx>
        <c:axId val="180523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s-CO"/>
          </a:p>
        </c:txPr>
        <c:crossAx val="180525312"/>
        <c:crosses val="autoZero"/>
        <c:auto val="1"/>
        <c:lblAlgn val="ctr"/>
        <c:lblOffset val="100"/>
        <c:noMultiLvlLbl val="0"/>
      </c:catAx>
      <c:valAx>
        <c:axId val="180525312"/>
        <c:scaling>
          <c:orientation val="minMax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80523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CFFCC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FF99CC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FF66FF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FFFF99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009900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009900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'2017'!$O$58:$O$68</c:f>
              <c:strCache>
                <c:ptCount val="11"/>
                <c:pt idx="0">
                  <c:v>BCG
&lt;1 AÑO
- Unica</c:v>
                </c:pt>
                <c:pt idx="1">
                  <c:v>HB RECIEN NACIDO (HASTA 28 DÍAS)</c:v>
                </c:pt>
                <c:pt idx="2">
                  <c:v>(VIP) PARENTERAL
&lt;  DE 1 AÑO 1a.Dosis</c:v>
                </c:pt>
                <c:pt idx="3">
                  <c:v>VOP
&lt;1 AÑO
3ras</c:v>
                </c:pt>
                <c:pt idx="4">
                  <c:v>DPT
&lt;1 AÑO
3ras</c:v>
                </c:pt>
                <c:pt idx="5">
                  <c:v>Neumo (2 a 11 Meses 29 Dias) 2das</c:v>
                </c:pt>
                <c:pt idx="6">
                  <c:v>SRP (T.V.)
AÑO EDAD 
- Única</c:v>
                </c:pt>
                <c:pt idx="7">
                  <c:v>Neumo de (12 meses a 23 Meses) Ref.</c:v>
                </c:pt>
                <c:pt idx="8">
                  <c:v>HA 1 AÑO Única</c:v>
                </c:pt>
                <c:pt idx="9">
                  <c:v>SRP (T.V.) 5 Años Ref.</c:v>
                </c:pt>
                <c:pt idx="10">
                  <c:v>Cob. ESPERADA (95%)</c:v>
                </c:pt>
              </c:strCache>
            </c:strRef>
          </c:cat>
          <c:val>
            <c:numRef>
              <c:f>'2017'!$P$58:$P$68</c:f>
              <c:numCache>
                <c:formatCode>0.00</c:formatCode>
                <c:ptCount val="11"/>
                <c:pt idx="0">
                  <c:v>91.5</c:v>
                </c:pt>
                <c:pt idx="1">
                  <c:v>89.3</c:v>
                </c:pt>
                <c:pt idx="2">
                  <c:v>93.7</c:v>
                </c:pt>
                <c:pt idx="3">
                  <c:v>91.7</c:v>
                </c:pt>
                <c:pt idx="4">
                  <c:v>91.6</c:v>
                </c:pt>
                <c:pt idx="5">
                  <c:v>93</c:v>
                </c:pt>
                <c:pt idx="6">
                  <c:v>93.1</c:v>
                </c:pt>
                <c:pt idx="7">
                  <c:v>91.4</c:v>
                </c:pt>
                <c:pt idx="8">
                  <c:v>91.4</c:v>
                </c:pt>
                <c:pt idx="9">
                  <c:v>89.4</c:v>
                </c:pt>
                <c:pt idx="10">
                  <c:v>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959488"/>
        <c:axId val="180977664"/>
      </c:barChart>
      <c:catAx>
        <c:axId val="18095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977664"/>
        <c:crosses val="autoZero"/>
        <c:auto val="1"/>
        <c:lblAlgn val="ctr"/>
        <c:lblOffset val="100"/>
        <c:noMultiLvlLbl val="0"/>
      </c:catAx>
      <c:valAx>
        <c:axId val="180977664"/>
        <c:scaling>
          <c:orientation val="minMax"/>
          <c:max val="9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95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60325" cmpd="sng">
              <a:solidFill>
                <a:schemeClr val="accent1">
                  <a:alpha val="36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CFFCC"/>
              </a:solidFill>
              <a:ln w="60325" cmpd="sng">
                <a:solidFill>
                  <a:schemeClr val="accent1">
                    <a:alpha val="36000"/>
                  </a:schemeClr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457-4A3C-9DD8-287159FB392C}"/>
              </c:ext>
            </c:extLst>
          </c:dPt>
          <c:dPt>
            <c:idx val="1"/>
            <c:invertIfNegative val="0"/>
            <c:bubble3D val="0"/>
            <c:spPr>
              <a:solidFill>
                <a:srgbClr val="FF99CC"/>
              </a:solidFill>
              <a:ln w="60325" cmpd="sng">
                <a:solidFill>
                  <a:schemeClr val="accent1">
                    <a:alpha val="36000"/>
                  </a:schemeClr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457-4A3C-9DD8-287159FB392C}"/>
              </c:ext>
            </c:extLst>
          </c:dPt>
          <c:dPt>
            <c:idx val="2"/>
            <c:invertIfNegative val="0"/>
            <c:bubble3D val="0"/>
            <c:spPr>
              <a:solidFill>
                <a:srgbClr val="FF66FF"/>
              </a:solidFill>
              <a:ln w="60325" cmpd="sng">
                <a:solidFill>
                  <a:schemeClr val="accent1">
                    <a:alpha val="36000"/>
                  </a:schemeClr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0457-4A3C-9DD8-287159FB392C}"/>
              </c:ext>
            </c:extLst>
          </c:dPt>
          <c:dPt>
            <c:idx val="3"/>
            <c:invertIfNegative val="0"/>
            <c:bubble3D val="0"/>
            <c:spPr>
              <a:solidFill>
                <a:srgbClr val="FFFF99"/>
              </a:solidFill>
              <a:ln w="60325" cmpd="sng">
                <a:solidFill>
                  <a:schemeClr val="accent1">
                    <a:alpha val="36000"/>
                  </a:schemeClr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0457-4A3C-9DD8-287159FB392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60325" cmpd="sng">
                <a:solidFill>
                  <a:schemeClr val="accent1">
                    <a:alpha val="36000"/>
                  </a:schemeClr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0457-4A3C-9DD8-287159FB392C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 w="60325" cmpd="sng">
                <a:solidFill>
                  <a:schemeClr val="accent1">
                    <a:alpha val="36000"/>
                  </a:schemeClr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0457-4A3C-9DD8-287159FB392C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 w="60325" cmpd="sng">
                <a:solidFill>
                  <a:schemeClr val="accent1">
                    <a:alpha val="36000"/>
                  </a:schemeClr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0457-4A3C-9DD8-287159FB392C}"/>
              </c:ext>
            </c:extLst>
          </c:dPt>
          <c:dPt>
            <c:idx val="7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 w="60325" cmpd="sng">
                <a:solidFill>
                  <a:schemeClr val="accent1">
                    <a:alpha val="36000"/>
                  </a:schemeClr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0457-4A3C-9DD8-287159FB392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60325" cmpd="sng">
                <a:solidFill>
                  <a:schemeClr val="accent1">
                    <a:alpha val="36000"/>
                  </a:schemeClr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0457-4A3C-9DD8-287159FB392C}"/>
              </c:ext>
            </c:extLst>
          </c:dPt>
          <c:dPt>
            <c:idx val="9"/>
            <c:invertIfNegative val="0"/>
            <c:bubble3D val="0"/>
            <c:spPr>
              <a:solidFill>
                <a:srgbClr val="009900"/>
              </a:solidFill>
              <a:ln w="60325" cmpd="sng">
                <a:solidFill>
                  <a:schemeClr val="accent1">
                    <a:alpha val="36000"/>
                  </a:schemeClr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0457-4A3C-9DD8-287159FB392C}"/>
              </c:ext>
            </c:extLst>
          </c:dPt>
          <c:dPt>
            <c:idx val="10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  <a:ln w="60325" cmpd="sng">
                <a:solidFill>
                  <a:schemeClr val="accent1">
                    <a:alpha val="36000"/>
                  </a:schemeClr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0457-4A3C-9DD8-287159FB39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'2018'!$L$56:$L$66</c:f>
              <c:strCache>
                <c:ptCount val="11"/>
                <c:pt idx="0">
                  <c:v>BCG
&lt;1 AÑO
- Unica</c:v>
                </c:pt>
                <c:pt idx="1">
                  <c:v>HB RECIEN NACIDO (HASTA 28 DÍAS)</c:v>
                </c:pt>
                <c:pt idx="2">
                  <c:v>(VIP) PARENTERAL
&lt;  DE 1 AÑO 1a.Dosis</c:v>
                </c:pt>
                <c:pt idx="3">
                  <c:v>VOP
&lt;1 AÑO
3ras</c:v>
                </c:pt>
                <c:pt idx="4">
                  <c:v>DPT
&lt;1 AÑO
3ras</c:v>
                </c:pt>
                <c:pt idx="5">
                  <c:v>Neumo (2 a 11 Meses 29 Dias) 2das</c:v>
                </c:pt>
                <c:pt idx="6">
                  <c:v>SRP (T.V.)
AÑO EDAD 
- Única</c:v>
                </c:pt>
                <c:pt idx="7">
                  <c:v>Neumo de (12 meses a 23 Meses) Ref.</c:v>
                </c:pt>
                <c:pt idx="8">
                  <c:v>HA 1 AÑO Única</c:v>
                </c:pt>
                <c:pt idx="9">
                  <c:v>SRP (T.V.) 5 Años Ref.</c:v>
                </c:pt>
                <c:pt idx="10">
                  <c:v>Cob. ESPERADA (95%)</c:v>
                </c:pt>
              </c:strCache>
            </c:strRef>
          </c:cat>
          <c:val>
            <c:numRef>
              <c:f>'2018'!$M$56:$M$66</c:f>
              <c:numCache>
                <c:formatCode>0.00</c:formatCode>
                <c:ptCount val="11"/>
                <c:pt idx="0">
                  <c:v>89.1</c:v>
                </c:pt>
                <c:pt idx="1">
                  <c:v>87.4</c:v>
                </c:pt>
                <c:pt idx="2">
                  <c:v>92.6</c:v>
                </c:pt>
                <c:pt idx="3">
                  <c:v>92.5</c:v>
                </c:pt>
                <c:pt idx="4">
                  <c:v>92.5</c:v>
                </c:pt>
                <c:pt idx="5">
                  <c:v>93.5</c:v>
                </c:pt>
                <c:pt idx="6">
                  <c:v>95.2</c:v>
                </c:pt>
                <c:pt idx="7">
                  <c:v>93.8</c:v>
                </c:pt>
                <c:pt idx="8">
                  <c:v>96.5</c:v>
                </c:pt>
                <c:pt idx="9">
                  <c:v>88.1</c:v>
                </c:pt>
                <c:pt idx="10">
                  <c:v>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0457-4A3C-9DD8-287159FB3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6"/>
        <c:overlap val="-21"/>
        <c:axId val="181696000"/>
        <c:axId val="181697536"/>
      </c:barChart>
      <c:catAx>
        <c:axId val="18169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697536"/>
        <c:crosses val="autoZero"/>
        <c:auto val="1"/>
        <c:lblAlgn val="ctr"/>
        <c:lblOffset val="100"/>
        <c:noMultiLvlLbl val="0"/>
      </c:catAx>
      <c:valAx>
        <c:axId val="181697536"/>
        <c:scaling>
          <c:orientation val="minMax"/>
          <c:max val="100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696000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CFFCC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9DF-4ACD-95B4-C2D43ED39AB6}"/>
              </c:ext>
            </c:extLst>
          </c:dPt>
          <c:dPt>
            <c:idx val="1"/>
            <c:invertIfNegative val="0"/>
            <c:bubble3D val="0"/>
            <c:spPr>
              <a:solidFill>
                <a:srgbClr val="FF99CC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39DF-4ACD-95B4-C2D43ED39AB6}"/>
              </c:ext>
            </c:extLst>
          </c:dPt>
          <c:dPt>
            <c:idx val="2"/>
            <c:invertIfNegative val="0"/>
            <c:bubble3D val="0"/>
            <c:spPr>
              <a:solidFill>
                <a:srgbClr val="FF33CC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39DF-4ACD-95B4-C2D43ED39AB6}"/>
              </c:ext>
            </c:extLst>
          </c:dPt>
          <c:dPt>
            <c:idx val="3"/>
            <c:invertIfNegative val="0"/>
            <c:bubble3D val="0"/>
            <c:spPr>
              <a:solidFill>
                <a:srgbClr val="FFFF99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39DF-4ACD-95B4-C2D43ED39AB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8-39DF-4ACD-95B4-C2D43ED39AB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39DF-4ACD-95B4-C2D43ED39AB6}"/>
              </c:ext>
            </c:extLst>
          </c:dPt>
          <c:dPt>
            <c:idx val="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0-39DF-4ACD-95B4-C2D43ED39AB6}"/>
              </c:ext>
            </c:extLst>
          </c:dPt>
          <c:dPt>
            <c:idx val="7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6-39DF-4ACD-95B4-C2D43ED39AB6}"/>
              </c:ext>
            </c:extLst>
          </c:dPt>
          <c:dPt>
            <c:idx val="8"/>
            <c:invertIfNegative val="0"/>
            <c:bubble3D val="0"/>
            <c:spPr>
              <a:solidFill>
                <a:srgbClr val="339933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F-39DF-4ACD-95B4-C2D43ED39AB6}"/>
              </c:ext>
            </c:extLst>
          </c:dPt>
          <c:dPt>
            <c:idx val="9"/>
            <c:invertIfNegative val="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8-39DF-4ACD-95B4-C2D43ED39AB6}"/>
              </c:ext>
            </c:extLst>
          </c:dPt>
          <c:dPt>
            <c:idx val="10"/>
            <c:invertIfNegative val="0"/>
            <c:bubble3D val="0"/>
            <c:spPr>
              <a:solidFill>
                <a:srgbClr val="E6B8B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C9A4-4099-B89A-C355BA109397}"/>
              </c:ext>
            </c:extLst>
          </c:dPt>
          <c:dPt>
            <c:idx val="11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1D60-4F1C-A7B2-B355C06F931E}"/>
              </c:ext>
            </c:extLst>
          </c:dPt>
          <c:dPt>
            <c:idx val="1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1D60-4F1C-A7B2-B355C06F931E}"/>
              </c:ext>
            </c:extLst>
          </c:dPt>
          <c:dPt>
            <c:idx val="1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4-1D60-4F1C-A7B2-B355C06F931E}"/>
              </c:ext>
            </c:extLst>
          </c:dPt>
          <c:dPt>
            <c:idx val="14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A4BC-4F72-97FD-D3B9BB778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'2019'!$O$58:$O$73</c:f>
              <c:strCache>
                <c:ptCount val="16"/>
                <c:pt idx="0">
                  <c:v>BCG
&lt;1 AÑO
- Unica</c:v>
                </c:pt>
                <c:pt idx="1">
                  <c:v>HB RECIEN NACIDO (HASTA 28 DÍAS)</c:v>
                </c:pt>
                <c:pt idx="2">
                  <c:v>(VIP) PARENTERAL
&lt;  DE 1 Año 1a.Dosis</c:v>
                </c:pt>
                <c:pt idx="3">
                  <c:v>VOP
&lt;1 Año
3ras</c:v>
                </c:pt>
                <c:pt idx="4">
                  <c:v>DPT
&lt;1 Año 
3ras</c:v>
                </c:pt>
                <c:pt idx="5">
                  <c:v>ROTAVIRUS de 4 a 11 MESES 
29 DIAS 2a Dosis</c:v>
                </c:pt>
                <c:pt idx="6">
                  <c:v>FLU de 6 a 11 Meses
2a Dosis</c:v>
                </c:pt>
                <c:pt idx="7">
                  <c:v>Neumo (2 a 11 Meses 29 Dias) 2das</c:v>
                </c:pt>
                <c:pt idx="8">
                  <c:v>SRP (T.V.)
Año edad</c:v>
                </c:pt>
                <c:pt idx="9">
                  <c:v>Neumo de (12 meses a 23 Meses) Ref.</c:v>
                </c:pt>
                <c:pt idx="10">
                  <c:v>HA 1 Año Única</c:v>
                </c:pt>
                <c:pt idx="11">
                  <c:v>Varicela 1 año</c:v>
                </c:pt>
                <c:pt idx="12">
                  <c:v>F.A. 1 Año</c:v>
                </c:pt>
                <c:pt idx="13">
                  <c:v>SRP (T.V.) 5 Años Ref.</c:v>
                </c:pt>
                <c:pt idx="14">
                  <c:v>Varicela 5 años</c:v>
                </c:pt>
                <c:pt idx="15">
                  <c:v>Cob. ESPERADA (95%)</c:v>
                </c:pt>
              </c:strCache>
            </c:strRef>
          </c:cat>
          <c:val>
            <c:numRef>
              <c:f>'2019'!$P$58:$P$73</c:f>
              <c:numCache>
                <c:formatCode>0.00</c:formatCode>
                <c:ptCount val="16"/>
                <c:pt idx="0">
                  <c:v>89.9</c:v>
                </c:pt>
                <c:pt idx="1">
                  <c:v>88.6</c:v>
                </c:pt>
                <c:pt idx="2">
                  <c:v>95.1</c:v>
                </c:pt>
                <c:pt idx="3">
                  <c:v>93.5</c:v>
                </c:pt>
                <c:pt idx="4">
                  <c:v>93.5</c:v>
                </c:pt>
                <c:pt idx="5" formatCode="#,##0.00_);\(#,##0.00\)">
                  <c:v>92</c:v>
                </c:pt>
                <c:pt idx="6" formatCode="#,##0.00_);\(#,##0.00\)">
                  <c:v>62.2</c:v>
                </c:pt>
                <c:pt idx="7">
                  <c:v>94.7</c:v>
                </c:pt>
                <c:pt idx="8">
                  <c:v>94.5</c:v>
                </c:pt>
                <c:pt idx="9">
                  <c:v>92.8</c:v>
                </c:pt>
                <c:pt idx="10">
                  <c:v>94.9</c:v>
                </c:pt>
                <c:pt idx="11">
                  <c:v>92.7</c:v>
                </c:pt>
                <c:pt idx="12" formatCode="#,##0.00_);\(#,##0.00\)">
                  <c:v>89.9</c:v>
                </c:pt>
                <c:pt idx="13">
                  <c:v>89.3</c:v>
                </c:pt>
                <c:pt idx="14">
                  <c:v>65</c:v>
                </c:pt>
                <c:pt idx="15">
                  <c:v>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DF-4ACD-95B4-C2D43ED39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812608"/>
        <c:axId val="181818496"/>
      </c:barChart>
      <c:catAx>
        <c:axId val="18181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818496"/>
        <c:crosses val="autoZero"/>
        <c:auto val="1"/>
        <c:lblAlgn val="ctr"/>
        <c:lblOffset val="100"/>
        <c:noMultiLvlLbl val="0"/>
      </c:catAx>
      <c:valAx>
        <c:axId val="18181849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812608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9FF99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70F-40E1-915C-C3FE03A2FE98}"/>
              </c:ext>
            </c:extLst>
          </c:dPt>
          <c:dPt>
            <c:idx val="1"/>
            <c:invertIfNegative val="0"/>
            <c:bubble3D val="0"/>
            <c:spPr>
              <a:solidFill>
                <a:srgbClr val="FFFF99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A70F-40E1-915C-C3FE03A2FE9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A70F-40E1-915C-C3FE03A2FE9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A70F-40E1-915C-C3FE03A2FE98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A70F-40E1-915C-C3FE03A2FE98}"/>
              </c:ext>
            </c:extLst>
          </c:dPt>
          <c:dPt>
            <c:idx val="5"/>
            <c:invertIfNegative val="0"/>
            <c:bubble3D val="0"/>
            <c:spPr>
              <a:solidFill>
                <a:srgbClr val="008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2-A70F-40E1-915C-C3FE03A2FE9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8-A70F-40E1-915C-C3FE03A2FE98}"/>
              </c:ext>
            </c:extLst>
          </c:dPt>
          <c:dPt>
            <c:idx val="7"/>
            <c:invertIfNegative val="0"/>
            <c:bubble3D val="0"/>
            <c:spPr>
              <a:solidFill>
                <a:srgbClr val="0000FF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D-A70F-40E1-915C-C3FE03A2FE9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'2019'!$J$79:$J$86</c:f>
              <c:strCache>
                <c:ptCount val="8"/>
                <c:pt idx="0">
                  <c:v>BCG
&lt;1 AÑO
- Unica</c:v>
                </c:pt>
                <c:pt idx="1">
                  <c:v>VOP
&lt;1 Año
3ras</c:v>
                </c:pt>
                <c:pt idx="2">
                  <c:v>DPT
&lt;1 Año 
3ras</c:v>
                </c:pt>
                <c:pt idx="3">
                  <c:v>ROTAVIRUS de 4 a 11 MESES 
29 DIAS 2a Dosis</c:v>
                </c:pt>
                <c:pt idx="4">
                  <c:v>Neumo (2 a 11 Meses 29 Dias) 2das</c:v>
                </c:pt>
                <c:pt idx="5">
                  <c:v>SRP (T.V.)
Año edad</c:v>
                </c:pt>
                <c:pt idx="6">
                  <c:v>SRP (T.V.) 5 Años Ref.</c:v>
                </c:pt>
                <c:pt idx="7">
                  <c:v>Cob. ESPERADA (95%)</c:v>
                </c:pt>
              </c:strCache>
            </c:strRef>
          </c:cat>
          <c:val>
            <c:numRef>
              <c:f>'2019'!$K$79:$K$86</c:f>
              <c:numCache>
                <c:formatCode>0.00</c:formatCode>
                <c:ptCount val="8"/>
                <c:pt idx="0">
                  <c:v>89.9</c:v>
                </c:pt>
                <c:pt idx="1">
                  <c:v>93.5</c:v>
                </c:pt>
                <c:pt idx="2">
                  <c:v>93.5</c:v>
                </c:pt>
                <c:pt idx="3" formatCode="#,##0.00_);\(#,##0.00\)">
                  <c:v>92</c:v>
                </c:pt>
                <c:pt idx="4">
                  <c:v>94.7</c:v>
                </c:pt>
                <c:pt idx="5">
                  <c:v>94.5</c:v>
                </c:pt>
                <c:pt idx="6">
                  <c:v>89.3</c:v>
                </c:pt>
                <c:pt idx="7">
                  <c:v>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70F-40E1-915C-C3FE03A2F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184768"/>
        <c:axId val="183186560"/>
      </c:barChart>
      <c:catAx>
        <c:axId val="18318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186560"/>
        <c:crosses val="autoZero"/>
        <c:auto val="1"/>
        <c:lblAlgn val="ctr"/>
        <c:lblOffset val="100"/>
        <c:noMultiLvlLbl val="0"/>
      </c:catAx>
      <c:valAx>
        <c:axId val="18318656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184768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040842807563665E-2"/>
          <c:y val="6.4935147289908804E-2"/>
          <c:w val="0.89070217767238613"/>
          <c:h val="0.7584425203461348"/>
        </c:manualLayout>
      </c:layout>
      <c:barChart>
        <c:barDir val="col"/>
        <c:grouping val="clustered"/>
        <c:varyColors val="0"/>
        <c:ser>
          <c:idx val="1"/>
          <c:order val="0"/>
          <c:tx>
            <c:v>2007</c:v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5400000" vert="horz"/>
              <a:lstStyle/>
              <a:p>
                <a:pPr algn="ctr">
                  <a:defRPr sz="6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Ene</c:v>
              </c:pt>
              <c:pt idx="1">
                <c:v>Feb</c:v>
              </c:pt>
              <c:pt idx="2">
                <c:v>Mar</c:v>
              </c:pt>
              <c:pt idx="3">
                <c:v>Abr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Ago</c:v>
              </c:pt>
              <c:pt idx="8">
                <c:v>Sept</c:v>
              </c:pt>
              <c:pt idx="9">
                <c:v>Oct</c:v>
              </c:pt>
              <c:pt idx="10">
                <c:v>Nov</c:v>
              </c:pt>
              <c:pt idx="11">
                <c:v>Dic</c:v>
              </c:pt>
            </c:strLit>
          </c:cat>
          <c:val>
            <c:numLit>
              <c:formatCode>General</c:formatCode>
              <c:ptCount val="12"/>
              <c:pt idx="0">
                <c:v>7.4</c:v>
              </c:pt>
              <c:pt idx="1">
                <c:v>14.6</c:v>
              </c:pt>
              <c:pt idx="2">
                <c:v>22.3</c:v>
              </c:pt>
              <c:pt idx="3">
                <c:v>31.7</c:v>
              </c:pt>
              <c:pt idx="4">
                <c:v>39.4</c:v>
              </c:pt>
              <c:pt idx="5">
                <c:v>47.1</c:v>
              </c:pt>
              <c:pt idx="6">
                <c:v>55.6</c:v>
              </c:pt>
              <c:pt idx="7">
                <c:v>63.5</c:v>
              </c:pt>
              <c:pt idx="8">
                <c:v>71.900000000000006</c:v>
              </c:pt>
              <c:pt idx="9">
                <c:v>78.900000000000006</c:v>
              </c:pt>
              <c:pt idx="10">
                <c:v>86</c:v>
              </c:pt>
              <c:pt idx="11">
                <c:v>92.8</c:v>
              </c:pt>
            </c:numLit>
          </c:val>
        </c:ser>
        <c:ser>
          <c:idx val="2"/>
          <c:order val="1"/>
          <c:tx>
            <c:v>2008</c:v>
          </c:tx>
          <c:spPr>
            <a:solidFill>
              <a:srgbClr val="FFCC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5400000" vert="horz"/>
              <a:lstStyle/>
              <a:p>
                <a:pPr algn="ctr" rtl="0">
                  <a:defRPr sz="6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Ene</c:v>
              </c:pt>
              <c:pt idx="1">
                <c:v>Feb</c:v>
              </c:pt>
              <c:pt idx="2">
                <c:v>Mar</c:v>
              </c:pt>
              <c:pt idx="3">
                <c:v>Abr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Ago</c:v>
              </c:pt>
              <c:pt idx="8">
                <c:v>Sept</c:v>
              </c:pt>
              <c:pt idx="9">
                <c:v>Oct</c:v>
              </c:pt>
              <c:pt idx="10">
                <c:v>Nov</c:v>
              </c:pt>
              <c:pt idx="11">
                <c:v>Dic</c:v>
              </c:pt>
            </c:strLit>
          </c:cat>
          <c:val>
            <c:numLit>
              <c:formatCode>General</c:formatCode>
              <c:ptCount val="12"/>
              <c:pt idx="0">
                <c:v>6.3</c:v>
              </c:pt>
              <c:pt idx="1">
                <c:v>12.5</c:v>
              </c:pt>
              <c:pt idx="2">
                <c:v>19.7</c:v>
              </c:pt>
              <c:pt idx="3">
                <c:v>28.3</c:v>
              </c:pt>
              <c:pt idx="4">
                <c:v>35.6</c:v>
              </c:pt>
              <c:pt idx="5">
                <c:v>43.9</c:v>
              </c:pt>
              <c:pt idx="6">
                <c:v>52.7</c:v>
              </c:pt>
              <c:pt idx="7">
                <c:v>60.1</c:v>
              </c:pt>
              <c:pt idx="8">
                <c:v>69.099999999999994</c:v>
              </c:pt>
              <c:pt idx="9">
                <c:v>76.099999999999994</c:v>
              </c:pt>
              <c:pt idx="10">
                <c:v>84.6</c:v>
              </c:pt>
              <c:pt idx="11">
                <c:v>92</c:v>
              </c:pt>
            </c:numLit>
          </c:val>
        </c:ser>
        <c:ser>
          <c:idx val="3"/>
          <c:order val="2"/>
          <c:tx>
            <c:v>2009</c:v>
          </c:tx>
          <c:spPr>
            <a:solidFill>
              <a:srgbClr val="FF00FF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5400000" vert="horz"/>
              <a:lstStyle/>
              <a:p>
                <a:pPr algn="ctr">
                  <a:defRPr sz="6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Ene</c:v>
              </c:pt>
              <c:pt idx="1">
                <c:v>Feb</c:v>
              </c:pt>
              <c:pt idx="2">
                <c:v>Mar</c:v>
              </c:pt>
              <c:pt idx="3">
                <c:v>Abr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Ago</c:v>
              </c:pt>
              <c:pt idx="8">
                <c:v>Sept</c:v>
              </c:pt>
              <c:pt idx="9">
                <c:v>Oct</c:v>
              </c:pt>
              <c:pt idx="10">
                <c:v>Nov</c:v>
              </c:pt>
              <c:pt idx="11">
                <c:v>Dic</c:v>
              </c:pt>
            </c:strLit>
          </c:cat>
          <c:val>
            <c:numLit>
              <c:formatCode>General</c:formatCode>
              <c:ptCount val="12"/>
              <c:pt idx="0">
                <c:v>6.9</c:v>
              </c:pt>
              <c:pt idx="1">
                <c:v>13.8</c:v>
              </c:pt>
              <c:pt idx="2">
                <c:v>21.2</c:v>
              </c:pt>
              <c:pt idx="3">
                <c:v>29.5</c:v>
              </c:pt>
              <c:pt idx="4">
                <c:v>36.9</c:v>
              </c:pt>
              <c:pt idx="5">
                <c:v>44</c:v>
              </c:pt>
              <c:pt idx="6">
                <c:v>52.7</c:v>
              </c:pt>
              <c:pt idx="7">
                <c:v>60.7</c:v>
              </c:pt>
              <c:pt idx="8">
                <c:v>68.599999999999994</c:v>
              </c:pt>
              <c:pt idx="9">
                <c:v>76</c:v>
              </c:pt>
              <c:pt idx="10">
                <c:v>83.5</c:v>
              </c:pt>
              <c:pt idx="11">
                <c:v>92.1</c:v>
              </c:pt>
            </c:numLit>
          </c:val>
        </c:ser>
        <c:ser>
          <c:idx val="4"/>
          <c:order val="3"/>
          <c:tx>
            <c:v>2010</c:v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Lit>
              <c:formatCode>General</c:formatCode>
              <c:ptCount val="12"/>
              <c:pt idx="0">
                <c:v>6.8</c:v>
              </c:pt>
              <c:pt idx="1">
                <c:v>13.7</c:v>
              </c:pt>
              <c:pt idx="2">
                <c:v>21.5</c:v>
              </c:pt>
              <c:pt idx="3">
                <c:v>29.3</c:v>
              </c:pt>
              <c:pt idx="4">
                <c:v>36.700000000000003</c:v>
              </c:pt>
              <c:pt idx="5">
                <c:v>44.1</c:v>
              </c:pt>
              <c:pt idx="6">
                <c:v>51.5</c:v>
              </c:pt>
              <c:pt idx="7">
                <c:v>58.9</c:v>
              </c:pt>
              <c:pt idx="8">
                <c:v>66.599999999999994</c:v>
              </c:pt>
              <c:pt idx="9">
                <c:v>73.8</c:v>
              </c:pt>
              <c:pt idx="10">
                <c:v>81</c:v>
              </c:pt>
              <c:pt idx="11">
                <c:v>88</c:v>
              </c:pt>
            </c:numLit>
          </c:val>
        </c:ser>
        <c:ser>
          <c:idx val="0"/>
          <c:order val="4"/>
          <c:tx>
            <c:v>ESPERADO</c:v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5400000" vert="horz"/>
              <a:lstStyle/>
              <a:p>
                <a:pPr algn="ctr"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Lit>
              <c:formatCode>General</c:formatCode>
              <c:ptCount val="12"/>
              <c:pt idx="0">
                <c:v>7.9</c:v>
              </c:pt>
              <c:pt idx="1">
                <c:v>15.8</c:v>
              </c:pt>
              <c:pt idx="2">
                <c:v>23.700000000000003</c:v>
              </c:pt>
              <c:pt idx="3">
                <c:v>31.6</c:v>
              </c:pt>
              <c:pt idx="4">
                <c:v>39.5</c:v>
              </c:pt>
              <c:pt idx="5">
                <c:v>47.400000000000006</c:v>
              </c:pt>
              <c:pt idx="6">
                <c:v>55.300000000000004</c:v>
              </c:pt>
              <c:pt idx="7">
                <c:v>63.2</c:v>
              </c:pt>
              <c:pt idx="8">
                <c:v>71.100000000000009</c:v>
              </c:pt>
              <c:pt idx="9">
                <c:v>79</c:v>
              </c:pt>
              <c:pt idx="10">
                <c:v>86.9</c:v>
              </c:pt>
              <c:pt idx="11">
                <c:v>94.800000000000011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228608"/>
        <c:axId val="172230144"/>
      </c:barChart>
      <c:catAx>
        <c:axId val="17222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172230144"/>
        <c:crosses val="autoZero"/>
        <c:auto val="1"/>
        <c:lblAlgn val="ctr"/>
        <c:lblOffset val="100"/>
        <c:noMultiLvlLbl val="0"/>
      </c:catAx>
      <c:valAx>
        <c:axId val="172230144"/>
        <c:scaling>
          <c:orientation val="minMax"/>
          <c:max val="1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172228608"/>
        <c:crosses val="autoZero"/>
        <c:crossBetween val="between"/>
        <c:majorUnit val="5"/>
      </c:valAx>
    </c:plotArea>
    <c:legend>
      <c:legendPos val="r"/>
      <c:layout>
        <c:manualLayout>
          <c:xMode val="edge"/>
          <c:yMode val="edge"/>
          <c:x val="0.27580662094657532"/>
          <c:y val="0.93246753246753245"/>
          <c:w val="0.36935483870967784"/>
          <c:h val="5.1948051948051972E-2"/>
        </c:manualLayout>
      </c:layout>
      <c:overlay val="0"/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 alignWithMargins="0"/>
    <c:pageMargins b="0.75000000000000888" l="0.70000000000000062" r="0.70000000000000062" t="0.75000000000000888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000"/>
              <a:t>Coberturas de Vacunación Departamental según Biológico 
Corte a Diciembre</a:t>
            </a:r>
            <a:r>
              <a:rPr lang="es-CO" sz="1000" baseline="0"/>
              <a:t> d</a:t>
            </a:r>
            <a:r>
              <a:rPr lang="es-CO" sz="1000"/>
              <a:t>e 2010</a:t>
            </a:r>
          </a:p>
        </c:rich>
      </c:tx>
      <c:layout>
        <c:manualLayout>
          <c:xMode val="edge"/>
          <c:yMode val="edge"/>
          <c:x val="0.12563934012752925"/>
          <c:y val="4.33400598794497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213168555622885E-2"/>
          <c:y val="0.20579771006885006"/>
          <c:w val="0.90983679386269956"/>
          <c:h val="0.539131956331545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'2010'!$D$9</c:f>
              <c:strCache>
                <c:ptCount val="1"/>
                <c:pt idx="0">
                  <c:v>VOP &lt;DE1 AÑO 3ras + VIP &lt;1AÑO 3as Dosis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'2010'!$C$71</c:f>
              <c:strCache>
                <c:ptCount val="1"/>
                <c:pt idx="0">
                  <c:v>Biologicos</c:v>
                </c:pt>
              </c:strCache>
            </c:strRef>
          </c:cat>
          <c:val>
            <c:numRef>
              <c:f>'2010'!$E$47</c:f>
              <c:numCache>
                <c:formatCode>_ * #,##0.0_ ;_ * \-#,##0.0_ ;_ * "-"??_ ;_ @_ </c:formatCode>
                <c:ptCount val="1"/>
                <c:pt idx="0">
                  <c:v>88</c:v>
                </c:pt>
              </c:numCache>
            </c:numRef>
          </c:val>
        </c:ser>
        <c:ser>
          <c:idx val="1"/>
          <c:order val="1"/>
          <c:tx>
            <c:strRef>
              <c:f>'2010'!$F$9</c:f>
              <c:strCache>
                <c:ptCount val="1"/>
                <c:pt idx="0">
                  <c:v>DPT MENOR DE UN AÑO 3ras. Dosis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'2010'!$C$71</c:f>
              <c:strCache>
                <c:ptCount val="1"/>
                <c:pt idx="0">
                  <c:v>Biologicos</c:v>
                </c:pt>
              </c:strCache>
            </c:strRef>
          </c:cat>
          <c:val>
            <c:numRef>
              <c:f>'2010'!$G$47</c:f>
              <c:numCache>
                <c:formatCode>_ * #,##0.0_ ;_ * \-#,##0.0_ ;_ * "-"??_ ;_ @_ </c:formatCode>
                <c:ptCount val="1"/>
                <c:pt idx="0">
                  <c:v>87.9</c:v>
                </c:pt>
              </c:numCache>
            </c:numRef>
          </c:val>
        </c:ser>
        <c:ser>
          <c:idx val="2"/>
          <c:order val="2"/>
          <c:tx>
            <c:strRef>
              <c:f>'2010'!$H$9</c:f>
              <c:strCache>
                <c:ptCount val="1"/>
                <c:pt idx="0">
                  <c:v>BCG RECIEN NACIDO (HASTA 28 DÍAS) + MENOR UN AÑO (29 DÍAS A 11 MESES 29 DIAS)
Dosis Unica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'2010'!$C$71</c:f>
              <c:strCache>
                <c:ptCount val="1"/>
                <c:pt idx="0">
                  <c:v>Biologicos</c:v>
                </c:pt>
              </c:strCache>
            </c:strRef>
          </c:cat>
          <c:val>
            <c:numRef>
              <c:f>'2010'!$I$47</c:f>
              <c:numCache>
                <c:formatCode>_ * #,##0.0_ ;_ * \-#,##0.0_ ;_ * "-"??_ ;_ @_ </c:formatCode>
                <c:ptCount val="1"/>
                <c:pt idx="0">
                  <c:v>83.5</c:v>
                </c:pt>
              </c:numCache>
            </c:numRef>
          </c:val>
        </c:ser>
        <c:ser>
          <c:idx val="5"/>
          <c:order val="3"/>
          <c:tx>
            <c:strRef>
              <c:f>'2010'!$Q$9</c:f>
              <c:strCache>
                <c:ptCount val="1"/>
                <c:pt idx="0">
                  <c:v>SRP (T.V.) DE UN AÑO
U.Dósis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'2010'!$C$71</c:f>
              <c:strCache>
                <c:ptCount val="1"/>
                <c:pt idx="0">
                  <c:v>Biologicos</c:v>
                </c:pt>
              </c:strCache>
            </c:strRef>
          </c:cat>
          <c:val>
            <c:numRef>
              <c:f>'2010'!$R$47</c:f>
              <c:numCache>
                <c:formatCode>_ * #,##0.0_ ;_ * \-#,##0.0_ ;_ * "-"??_ ;_ @_ </c:formatCode>
                <c:ptCount val="1"/>
                <c:pt idx="0">
                  <c:v>88.5</c:v>
                </c:pt>
              </c:numCache>
            </c:numRef>
          </c:val>
        </c:ser>
        <c:ser>
          <c:idx val="6"/>
          <c:order val="4"/>
          <c:tx>
            <c:strRef>
              <c:f>'2010'!$S$9</c:f>
              <c:strCache>
                <c:ptCount val="1"/>
                <c:pt idx="0">
                  <c:v>F.A. 1 AÑO
U. Dósis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numFmt formatCode="0.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CO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'2010'!$C$71</c:f>
              <c:strCache>
                <c:ptCount val="1"/>
                <c:pt idx="0">
                  <c:v>Biologicos</c:v>
                </c:pt>
              </c:strCache>
            </c:strRef>
          </c:cat>
          <c:val>
            <c:numRef>
              <c:f>'2010'!$T$47</c:f>
              <c:numCache>
                <c:formatCode>_ * #,##0.0_ ;_ * \-#,##0.0_ ;_ * "-"??_ ;_ @_ </c:formatCode>
                <c:ptCount val="1"/>
                <c:pt idx="0">
                  <c:v>78.5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296832"/>
        <c:axId val="172310912"/>
      </c:barChart>
      <c:catAx>
        <c:axId val="17229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72310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2310912"/>
        <c:scaling>
          <c:orientation val="minMax"/>
          <c:max val="96.5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72296832"/>
        <c:crosses val="autoZero"/>
        <c:crossBetween val="between"/>
        <c:majorUnit val="7.9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967227069589274"/>
          <c:y val="0.87536475026048921"/>
          <c:w val="0.87377125156652813"/>
          <c:h val="6.956541236365554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866" r="0.75000000000000866" t="1" header="0" footer="0"/>
    <c:pageSetup orientation="landscape" horizontalDpi="300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'2012'!$E$56:$E$61</c:f>
              <c:strCache>
                <c:ptCount val="6"/>
                <c:pt idx="0">
                  <c:v>VOP &lt;1 AÑO 3ras</c:v>
                </c:pt>
                <c:pt idx="1">
                  <c:v>DPT &lt;1 AÑO 3ras</c:v>
                </c:pt>
                <c:pt idx="2">
                  <c:v>BCG &lt;1 AÑO - Unica</c:v>
                </c:pt>
                <c:pt idx="3">
                  <c:v>SRP (T.V.) AÑO EDAD - Única</c:v>
                </c:pt>
                <c:pt idx="4">
                  <c:v>FA 1 AÑO - Única</c:v>
                </c:pt>
                <c:pt idx="5">
                  <c:v>Cob. ESPERADA</c:v>
                </c:pt>
              </c:strCache>
            </c:strRef>
          </c:cat>
          <c:val>
            <c:numRef>
              <c:f>'2012'!$F$56:$F$61</c:f>
              <c:numCache>
                <c:formatCode>General</c:formatCode>
                <c:ptCount val="6"/>
              </c:numCache>
            </c:numRef>
          </c:val>
        </c:ser>
        <c:ser>
          <c:idx val="1"/>
          <c:order val="1"/>
          <c:invertIfNegative val="0"/>
          <c:dPt>
            <c:idx val="0"/>
            <c:invertIfNegative val="0"/>
            <c:bubble3D val="0"/>
            <c:spPr>
              <a:solidFill>
                <a:srgbClr val="FFFF99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</c:dPt>
          <c:dPt>
            <c:idx val="2"/>
            <c:invertIfNegative val="0"/>
            <c:bubble3D val="0"/>
            <c:spPr>
              <a:solidFill>
                <a:srgbClr val="CCFFCC"/>
              </a:solidFill>
            </c:spPr>
          </c:dPt>
          <c:dPt>
            <c:idx val="3"/>
            <c:invertIfNegative val="0"/>
            <c:bubble3D val="0"/>
            <c:spPr>
              <a:solidFill>
                <a:srgbClr val="009900"/>
              </a:solidFill>
            </c:spPr>
          </c:dPt>
          <c:dPt>
            <c:idx val="4"/>
            <c:invertIfNegative val="0"/>
            <c:bubble3D val="0"/>
            <c:spPr>
              <a:solidFill>
                <a:srgbClr val="FFFF00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'2012'!$E$56:$E$61</c:f>
              <c:strCache>
                <c:ptCount val="6"/>
                <c:pt idx="0">
                  <c:v>VOP &lt;1 AÑO 3ras</c:v>
                </c:pt>
                <c:pt idx="1">
                  <c:v>DPT &lt;1 AÑO 3ras</c:v>
                </c:pt>
                <c:pt idx="2">
                  <c:v>BCG &lt;1 AÑO - Unica</c:v>
                </c:pt>
                <c:pt idx="3">
                  <c:v>SRP (T.V.) AÑO EDAD - Única</c:v>
                </c:pt>
                <c:pt idx="4">
                  <c:v>FA 1 AÑO - Única</c:v>
                </c:pt>
                <c:pt idx="5">
                  <c:v>Cob. ESPERADA</c:v>
                </c:pt>
              </c:strCache>
            </c:strRef>
          </c:cat>
          <c:val>
            <c:numRef>
              <c:f>'2012'!$G$56:$G$61</c:f>
              <c:numCache>
                <c:formatCode>_(* #,##0.0_);_(* \(#,##0.0\);_(* "-"??_);_(@_)</c:formatCode>
                <c:ptCount val="6"/>
                <c:pt idx="0">
                  <c:v>91.3</c:v>
                </c:pt>
                <c:pt idx="1">
                  <c:v>91.8</c:v>
                </c:pt>
                <c:pt idx="2">
                  <c:v>89.1</c:v>
                </c:pt>
                <c:pt idx="3">
                  <c:v>93.8</c:v>
                </c:pt>
                <c:pt idx="4">
                  <c:v>91.9</c:v>
                </c:pt>
                <c:pt idx="5" formatCode="0.0">
                  <c:v>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957248"/>
        <c:axId val="171959040"/>
      </c:barChart>
      <c:catAx>
        <c:axId val="17195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s-CO"/>
          </a:p>
        </c:txPr>
        <c:crossAx val="171959040"/>
        <c:crosses val="autoZero"/>
        <c:auto val="1"/>
        <c:lblAlgn val="ctr"/>
        <c:lblOffset val="100"/>
        <c:noMultiLvlLbl val="0"/>
      </c:catAx>
      <c:valAx>
        <c:axId val="171959040"/>
        <c:scaling>
          <c:orientation val="minMax"/>
          <c:max val="1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957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'2013'!$E$64:$E$69</c:f>
              <c:strCache>
                <c:ptCount val="6"/>
                <c:pt idx="0">
                  <c:v>VOP &lt;1 AÑO 3ras</c:v>
                </c:pt>
                <c:pt idx="1">
                  <c:v>DPT &lt;1 AÑO 3ras</c:v>
                </c:pt>
                <c:pt idx="2">
                  <c:v>BCG &lt;1 AÑO - Unica</c:v>
                </c:pt>
                <c:pt idx="3">
                  <c:v>SRP (T.V.) AÑO EDAD - Única</c:v>
                </c:pt>
                <c:pt idx="4">
                  <c:v>FA 1 AÑO - Única</c:v>
                </c:pt>
                <c:pt idx="5">
                  <c:v>Cob. ESPERADA</c:v>
                </c:pt>
              </c:strCache>
            </c:strRef>
          </c:cat>
          <c:val>
            <c:numRef>
              <c:f>'2013'!$F$64:$F$69</c:f>
              <c:numCache>
                <c:formatCode>General</c:formatCode>
                <c:ptCount val="6"/>
              </c:numCache>
            </c:numRef>
          </c:val>
        </c:ser>
        <c:ser>
          <c:idx val="1"/>
          <c:order val="1"/>
          <c:invertIfNegative val="0"/>
          <c:dPt>
            <c:idx val="0"/>
            <c:invertIfNegative val="0"/>
            <c:bubble3D val="0"/>
            <c:spPr>
              <a:solidFill>
                <a:srgbClr val="FFFF99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</c:dPt>
          <c:dPt>
            <c:idx val="2"/>
            <c:invertIfNegative val="0"/>
            <c:bubble3D val="0"/>
            <c:spPr>
              <a:solidFill>
                <a:srgbClr val="CCFFCC"/>
              </a:solidFill>
            </c:spPr>
          </c:dPt>
          <c:dPt>
            <c:idx val="3"/>
            <c:invertIfNegative val="0"/>
            <c:bubble3D val="0"/>
            <c:spPr>
              <a:solidFill>
                <a:srgbClr val="009900"/>
              </a:solidFill>
            </c:spPr>
          </c:dPt>
          <c:dPt>
            <c:idx val="4"/>
            <c:invertIfNegative val="0"/>
            <c:bubble3D val="0"/>
            <c:spPr>
              <a:solidFill>
                <a:srgbClr val="FFFF00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'2013'!$E$64:$E$69</c:f>
              <c:strCache>
                <c:ptCount val="6"/>
                <c:pt idx="0">
                  <c:v>VOP &lt;1 AÑO 3ras</c:v>
                </c:pt>
                <c:pt idx="1">
                  <c:v>DPT &lt;1 AÑO 3ras</c:v>
                </c:pt>
                <c:pt idx="2">
                  <c:v>BCG &lt;1 AÑO - Unica</c:v>
                </c:pt>
                <c:pt idx="3">
                  <c:v>SRP (T.V.) AÑO EDAD - Única</c:v>
                </c:pt>
                <c:pt idx="4">
                  <c:v>FA 1 AÑO - Única</c:v>
                </c:pt>
                <c:pt idx="5">
                  <c:v>Cob. ESPERADA</c:v>
                </c:pt>
              </c:strCache>
            </c:strRef>
          </c:cat>
          <c:val>
            <c:numRef>
              <c:f>'2013'!$G$64:$G$69</c:f>
              <c:numCache>
                <c:formatCode>_(* #,##0.0_);_(* \(#,##0.0\);_(* "-"??_);_(@_)</c:formatCode>
                <c:ptCount val="6"/>
                <c:pt idx="0">
                  <c:v>90.9</c:v>
                </c:pt>
                <c:pt idx="1">
                  <c:v>91</c:v>
                </c:pt>
                <c:pt idx="2">
                  <c:v>85.9</c:v>
                </c:pt>
                <c:pt idx="3">
                  <c:v>92.4</c:v>
                </c:pt>
                <c:pt idx="4">
                  <c:v>91.6</c:v>
                </c:pt>
                <c:pt idx="5" formatCode="0.0">
                  <c:v>99.96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480192"/>
        <c:axId val="175494272"/>
      </c:barChart>
      <c:catAx>
        <c:axId val="17548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s-CO"/>
          </a:p>
        </c:txPr>
        <c:crossAx val="175494272"/>
        <c:crosses val="autoZero"/>
        <c:auto val="1"/>
        <c:lblAlgn val="ctr"/>
        <c:lblOffset val="100"/>
        <c:noMultiLvlLbl val="0"/>
      </c:catAx>
      <c:valAx>
        <c:axId val="175494272"/>
        <c:scaling>
          <c:orientation val="minMax"/>
          <c:max val="1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480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'2013'!$D$9</c:f>
              <c:strCache>
                <c:ptCount val="1"/>
                <c:pt idx="0">
                  <c:v>VOP &lt;DE1 AÑO 3ras + VIP &lt;1AÑO 3as Dosis</c:v>
                </c:pt>
              </c:strCache>
            </c:strRef>
          </c:tx>
          <c:spPr>
            <a:solidFill>
              <a:srgbClr val="FFFF99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'2013'!$B$10:$B$45</c:f>
              <c:strCache>
                <c:ptCount val="36"/>
                <c:pt idx="0">
                  <c:v>AMAZONAS</c:v>
                </c:pt>
                <c:pt idx="1">
                  <c:v>ANTIOQUIA</c:v>
                </c:pt>
                <c:pt idx="2">
                  <c:v>ARAUCA</c:v>
                </c:pt>
                <c:pt idx="3">
                  <c:v>ATLANTICO</c:v>
                </c:pt>
                <c:pt idx="4">
                  <c:v>BARRANQUILLA</c:v>
                </c:pt>
                <c:pt idx="5">
                  <c:v>BOGOTÁ D.C.</c:v>
                </c:pt>
                <c:pt idx="6">
                  <c:v>BOLIVAR</c:v>
                </c:pt>
                <c:pt idx="7">
                  <c:v>CARTAGENA</c:v>
                </c:pt>
                <c:pt idx="8">
                  <c:v>BOYACÁ</c:v>
                </c:pt>
                <c:pt idx="9">
                  <c:v>CALDAS</c:v>
                </c:pt>
                <c:pt idx="10">
                  <c:v>CAQUETÁ</c:v>
                </c:pt>
                <c:pt idx="11">
                  <c:v>CASANARE</c:v>
                </c:pt>
                <c:pt idx="12">
                  <c:v>CAUCA</c:v>
                </c:pt>
                <c:pt idx="13">
                  <c:v>CESAR</c:v>
                </c:pt>
                <c:pt idx="14">
                  <c:v>CHOCÓ</c:v>
                </c:pt>
                <c:pt idx="15">
                  <c:v>CÓRDOBA</c:v>
                </c:pt>
                <c:pt idx="16">
                  <c:v>CUNDINAMARCA</c:v>
                </c:pt>
                <c:pt idx="17">
                  <c:v>GUAINÍA</c:v>
                </c:pt>
                <c:pt idx="18">
                  <c:v>GUAVIARE</c:v>
                </c:pt>
                <c:pt idx="19">
                  <c:v>HUILA</c:v>
                </c:pt>
                <c:pt idx="20">
                  <c:v>LA GUAJIRA</c:v>
                </c:pt>
                <c:pt idx="21">
                  <c:v>MAGDALENA</c:v>
                </c:pt>
                <c:pt idx="22">
                  <c:v>SANTA MARTA</c:v>
                </c:pt>
                <c:pt idx="23">
                  <c:v>META</c:v>
                </c:pt>
                <c:pt idx="24">
                  <c:v>NARIÑO</c:v>
                </c:pt>
                <c:pt idx="25">
                  <c:v>NORTE DE SANTANDER</c:v>
                </c:pt>
                <c:pt idx="26">
                  <c:v>PUTUMAYO</c:v>
                </c:pt>
                <c:pt idx="27">
                  <c:v>QUINDÍO</c:v>
                </c:pt>
                <c:pt idx="28">
                  <c:v>RISARALDA</c:v>
                </c:pt>
                <c:pt idx="29">
                  <c:v>SAN ANDRÉS</c:v>
                </c:pt>
                <c:pt idx="30">
                  <c:v>SANTANDER</c:v>
                </c:pt>
                <c:pt idx="31">
                  <c:v>SUCRE</c:v>
                </c:pt>
                <c:pt idx="32">
                  <c:v>TOLIMA</c:v>
                </c:pt>
                <c:pt idx="33">
                  <c:v>VALLE</c:v>
                </c:pt>
                <c:pt idx="34">
                  <c:v>VAUPÉS</c:v>
                </c:pt>
                <c:pt idx="35">
                  <c:v>VICHADA</c:v>
                </c:pt>
              </c:strCache>
            </c:strRef>
          </c:cat>
          <c:val>
            <c:numRef>
              <c:f>'2013'!$E$10:$E$45</c:f>
              <c:numCache>
                <c:formatCode>_(* #,##0.0_);_(* \(#,##0.0\);_(* "-"??_);_(@_)</c:formatCode>
                <c:ptCount val="36"/>
                <c:pt idx="0">
                  <c:v>85.3</c:v>
                </c:pt>
                <c:pt idx="1">
                  <c:v>87.4</c:v>
                </c:pt>
                <c:pt idx="2">
                  <c:v>91.5</c:v>
                </c:pt>
                <c:pt idx="3">
                  <c:v>90.3</c:v>
                </c:pt>
                <c:pt idx="4">
                  <c:v>98.7</c:v>
                </c:pt>
                <c:pt idx="5">
                  <c:v>103</c:v>
                </c:pt>
                <c:pt idx="6">
                  <c:v>83</c:v>
                </c:pt>
                <c:pt idx="7">
                  <c:v>109.7</c:v>
                </c:pt>
                <c:pt idx="8">
                  <c:v>90</c:v>
                </c:pt>
                <c:pt idx="9">
                  <c:v>84.9</c:v>
                </c:pt>
                <c:pt idx="10">
                  <c:v>91.7</c:v>
                </c:pt>
                <c:pt idx="11">
                  <c:v>94.1</c:v>
                </c:pt>
                <c:pt idx="12">
                  <c:v>87.1</c:v>
                </c:pt>
                <c:pt idx="13">
                  <c:v>102.2</c:v>
                </c:pt>
                <c:pt idx="14">
                  <c:v>68.8</c:v>
                </c:pt>
                <c:pt idx="15">
                  <c:v>89</c:v>
                </c:pt>
                <c:pt idx="16">
                  <c:v>80.2</c:v>
                </c:pt>
                <c:pt idx="17">
                  <c:v>59.3</c:v>
                </c:pt>
                <c:pt idx="18">
                  <c:v>45</c:v>
                </c:pt>
                <c:pt idx="19">
                  <c:v>92.1</c:v>
                </c:pt>
                <c:pt idx="20">
                  <c:v>85.2</c:v>
                </c:pt>
                <c:pt idx="21">
                  <c:v>90.2</c:v>
                </c:pt>
                <c:pt idx="22">
                  <c:v>63.8</c:v>
                </c:pt>
                <c:pt idx="23">
                  <c:v>95.3</c:v>
                </c:pt>
                <c:pt idx="24">
                  <c:v>81.3</c:v>
                </c:pt>
                <c:pt idx="25">
                  <c:v>93.8</c:v>
                </c:pt>
                <c:pt idx="26">
                  <c:v>81.599999999999994</c:v>
                </c:pt>
                <c:pt idx="27">
                  <c:v>81.7</c:v>
                </c:pt>
                <c:pt idx="28">
                  <c:v>90.2</c:v>
                </c:pt>
                <c:pt idx="29">
                  <c:v>82.6</c:v>
                </c:pt>
                <c:pt idx="30">
                  <c:v>96.8</c:v>
                </c:pt>
                <c:pt idx="31">
                  <c:v>86</c:v>
                </c:pt>
                <c:pt idx="32">
                  <c:v>87.7</c:v>
                </c:pt>
                <c:pt idx="33">
                  <c:v>95.1</c:v>
                </c:pt>
                <c:pt idx="34">
                  <c:v>56.1</c:v>
                </c:pt>
                <c:pt idx="35">
                  <c:v>53.4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164416"/>
        <c:axId val="171165952"/>
      </c:barChart>
      <c:catAx>
        <c:axId val="171164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1165952"/>
        <c:crosses val="autoZero"/>
        <c:auto val="1"/>
        <c:lblAlgn val="ctr"/>
        <c:lblOffset val="100"/>
        <c:noMultiLvlLbl val="0"/>
      </c:catAx>
      <c:valAx>
        <c:axId val="171165952"/>
        <c:scaling>
          <c:orientation val="minMax"/>
        </c:scaling>
        <c:delete val="0"/>
        <c:axPos val="l"/>
        <c:majorGridlines/>
        <c:numFmt formatCode="_(* #,##0.0_);_(* \(#,##0.0\);_(* &quot;-&quot;??_);_(@_)" sourceLinked="1"/>
        <c:majorTickMark val="out"/>
        <c:minorTickMark val="none"/>
        <c:tickLblPos val="nextTo"/>
        <c:crossAx val="171164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'2014'!$E$65:$E$70</c:f>
              <c:strCache>
                <c:ptCount val="6"/>
                <c:pt idx="0">
                  <c:v>VOP &lt;1 AÑO 3ras</c:v>
                </c:pt>
                <c:pt idx="1">
                  <c:v>DPT &lt;1 AÑO 3ras</c:v>
                </c:pt>
                <c:pt idx="2">
                  <c:v>BCG &lt;1 AÑO - Unica</c:v>
                </c:pt>
                <c:pt idx="3">
                  <c:v>SRP (T.V.) AÑO EDAD - Única</c:v>
                </c:pt>
                <c:pt idx="4">
                  <c:v>FA 1 AÑO - Única</c:v>
                </c:pt>
                <c:pt idx="5">
                  <c:v>Cob. ESPERADA</c:v>
                </c:pt>
              </c:strCache>
            </c:strRef>
          </c:cat>
          <c:val>
            <c:numRef>
              <c:f>'2014'!$F$65:$F$70</c:f>
              <c:numCache>
                <c:formatCode>General</c:formatCode>
                <c:ptCount val="6"/>
              </c:numCache>
            </c:numRef>
          </c:val>
        </c:ser>
        <c:ser>
          <c:idx val="1"/>
          <c:order val="1"/>
          <c:invertIfNegative val="0"/>
          <c:dPt>
            <c:idx val="0"/>
            <c:invertIfNegative val="0"/>
            <c:bubble3D val="0"/>
            <c:spPr>
              <a:solidFill>
                <a:srgbClr val="FFFF99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</c:dPt>
          <c:dPt>
            <c:idx val="2"/>
            <c:invertIfNegative val="0"/>
            <c:bubble3D val="0"/>
            <c:spPr>
              <a:solidFill>
                <a:srgbClr val="CCFFCC"/>
              </a:solidFill>
            </c:spPr>
          </c:dPt>
          <c:dPt>
            <c:idx val="3"/>
            <c:invertIfNegative val="0"/>
            <c:bubble3D val="0"/>
            <c:spPr>
              <a:solidFill>
                <a:srgbClr val="009900"/>
              </a:solidFill>
            </c:spPr>
          </c:dPt>
          <c:dPt>
            <c:idx val="4"/>
            <c:invertIfNegative val="0"/>
            <c:bubble3D val="0"/>
            <c:spPr>
              <a:solidFill>
                <a:srgbClr val="FFFF00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'2014'!$E$65:$E$70</c:f>
              <c:strCache>
                <c:ptCount val="6"/>
                <c:pt idx="0">
                  <c:v>VOP &lt;1 AÑO 3ras</c:v>
                </c:pt>
                <c:pt idx="1">
                  <c:v>DPT &lt;1 AÑO 3ras</c:v>
                </c:pt>
                <c:pt idx="2">
                  <c:v>BCG &lt;1 AÑO - Unica</c:v>
                </c:pt>
                <c:pt idx="3">
                  <c:v>SRP (T.V.) AÑO EDAD - Única</c:v>
                </c:pt>
                <c:pt idx="4">
                  <c:v>FA 1 AÑO - Única</c:v>
                </c:pt>
                <c:pt idx="5">
                  <c:v>Cob. ESPERADA</c:v>
                </c:pt>
              </c:strCache>
            </c:strRef>
          </c:cat>
          <c:val>
            <c:numRef>
              <c:f>'2014'!$G$65:$G$70</c:f>
              <c:numCache>
                <c:formatCode>_(* #,##0.0_);_(* \(#,##0.0\);_(* "-"??_);_(@_)</c:formatCode>
                <c:ptCount val="6"/>
                <c:pt idx="0">
                  <c:v>90</c:v>
                </c:pt>
                <c:pt idx="1">
                  <c:v>90.3</c:v>
                </c:pt>
                <c:pt idx="2">
                  <c:v>88.7</c:v>
                </c:pt>
                <c:pt idx="3">
                  <c:v>91.3</c:v>
                </c:pt>
                <c:pt idx="4">
                  <c:v>91.8</c:v>
                </c:pt>
                <c:pt idx="5" formatCode="0.0">
                  <c:v>95.04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810432"/>
        <c:axId val="175811968"/>
      </c:barChart>
      <c:catAx>
        <c:axId val="17581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s-CO"/>
          </a:p>
        </c:txPr>
        <c:crossAx val="175811968"/>
        <c:crosses val="autoZero"/>
        <c:auto val="1"/>
        <c:lblAlgn val="ctr"/>
        <c:lblOffset val="100"/>
        <c:noMultiLvlLbl val="0"/>
      </c:catAx>
      <c:valAx>
        <c:axId val="175811968"/>
        <c:scaling>
          <c:orientation val="minMax"/>
          <c:max val="1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810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'2014'!$D$9</c:f>
              <c:strCache>
                <c:ptCount val="1"/>
                <c:pt idx="0">
                  <c:v>VOP &lt;DE1 AÑO 3ras + VIP &lt;1AÑO 3as Dosis</c:v>
                </c:pt>
              </c:strCache>
            </c:strRef>
          </c:tx>
          <c:spPr>
            <a:solidFill>
              <a:srgbClr val="FFFF99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'2014'!$B$10:$B$46</c:f>
              <c:strCache>
                <c:ptCount val="37"/>
                <c:pt idx="0">
                  <c:v>AMAZONAS</c:v>
                </c:pt>
                <c:pt idx="1">
                  <c:v>ANTIOQUIA</c:v>
                </c:pt>
                <c:pt idx="2">
                  <c:v>ARAUCA</c:v>
                </c:pt>
                <c:pt idx="3">
                  <c:v>ATLANTICO</c:v>
                </c:pt>
                <c:pt idx="4">
                  <c:v>BARRANQUILLA</c:v>
                </c:pt>
                <c:pt idx="5">
                  <c:v>BOGOTÁ D.C.</c:v>
                </c:pt>
                <c:pt idx="6">
                  <c:v>BOLIVAR</c:v>
                </c:pt>
                <c:pt idx="7">
                  <c:v>CARTAGENA</c:v>
                </c:pt>
                <c:pt idx="8">
                  <c:v>BOYACÁ</c:v>
                </c:pt>
                <c:pt idx="9">
                  <c:v>CALDAS</c:v>
                </c:pt>
                <c:pt idx="10">
                  <c:v>CAQUETÁ</c:v>
                </c:pt>
                <c:pt idx="11">
                  <c:v>CASANARE</c:v>
                </c:pt>
                <c:pt idx="12">
                  <c:v>CAUCA</c:v>
                </c:pt>
                <c:pt idx="13">
                  <c:v>CESAR</c:v>
                </c:pt>
                <c:pt idx="14">
                  <c:v>CHOCÓ</c:v>
                </c:pt>
                <c:pt idx="15">
                  <c:v>CÓRDOBA</c:v>
                </c:pt>
                <c:pt idx="16">
                  <c:v>CUNDINAMARCA</c:v>
                </c:pt>
                <c:pt idx="17">
                  <c:v>GUAINÍA</c:v>
                </c:pt>
                <c:pt idx="18">
                  <c:v>GUAVIARE</c:v>
                </c:pt>
                <c:pt idx="19">
                  <c:v>HUILA</c:v>
                </c:pt>
                <c:pt idx="20">
                  <c:v>LA GUAJIRA</c:v>
                </c:pt>
                <c:pt idx="21">
                  <c:v>MAGDALENA</c:v>
                </c:pt>
                <c:pt idx="22">
                  <c:v>SANTA MARTA</c:v>
                </c:pt>
                <c:pt idx="23">
                  <c:v>META</c:v>
                </c:pt>
                <c:pt idx="24">
                  <c:v>NARIÑO</c:v>
                </c:pt>
                <c:pt idx="25">
                  <c:v>NORTE DE SANTANDER</c:v>
                </c:pt>
                <c:pt idx="26">
                  <c:v>PUTUMAYO</c:v>
                </c:pt>
                <c:pt idx="27">
                  <c:v>QUINDÍO</c:v>
                </c:pt>
                <c:pt idx="28">
                  <c:v>RISARALDA</c:v>
                </c:pt>
                <c:pt idx="29">
                  <c:v>SAN ANDRÉS</c:v>
                </c:pt>
                <c:pt idx="30">
                  <c:v>SANTANDER</c:v>
                </c:pt>
                <c:pt idx="31">
                  <c:v>SUCRE</c:v>
                </c:pt>
                <c:pt idx="32">
                  <c:v>TOLIMA</c:v>
                </c:pt>
                <c:pt idx="33">
                  <c:v>VALLE</c:v>
                </c:pt>
                <c:pt idx="34">
                  <c:v>BUENAVENTURA</c:v>
                </c:pt>
                <c:pt idx="35">
                  <c:v>VAUPÉS</c:v>
                </c:pt>
                <c:pt idx="36">
                  <c:v>VICHADA</c:v>
                </c:pt>
              </c:strCache>
            </c:strRef>
          </c:cat>
          <c:val>
            <c:numRef>
              <c:f>'2014'!$E$10:$E$46</c:f>
              <c:numCache>
                <c:formatCode>_(* #,##0.0_);_(* \(#,##0.0\);_(* "-"??_);_(@_)</c:formatCode>
                <c:ptCount val="37"/>
                <c:pt idx="0">
                  <c:v>75.400000000000006</c:v>
                </c:pt>
                <c:pt idx="1">
                  <c:v>88.9</c:v>
                </c:pt>
                <c:pt idx="2">
                  <c:v>86.9</c:v>
                </c:pt>
                <c:pt idx="3">
                  <c:v>93.2</c:v>
                </c:pt>
                <c:pt idx="4">
                  <c:v>97.6</c:v>
                </c:pt>
                <c:pt idx="5">
                  <c:v>89.2</c:v>
                </c:pt>
                <c:pt idx="6">
                  <c:v>84.7</c:v>
                </c:pt>
                <c:pt idx="7">
                  <c:v>92.2</c:v>
                </c:pt>
                <c:pt idx="8">
                  <c:v>88.2</c:v>
                </c:pt>
                <c:pt idx="9">
                  <c:v>86.3</c:v>
                </c:pt>
                <c:pt idx="10">
                  <c:v>70.2</c:v>
                </c:pt>
                <c:pt idx="11">
                  <c:v>92.4</c:v>
                </c:pt>
                <c:pt idx="12">
                  <c:v>90.1</c:v>
                </c:pt>
                <c:pt idx="13">
                  <c:v>94.4</c:v>
                </c:pt>
                <c:pt idx="14">
                  <c:v>85.8</c:v>
                </c:pt>
                <c:pt idx="15">
                  <c:v>88.2</c:v>
                </c:pt>
                <c:pt idx="16">
                  <c:v>96.1</c:v>
                </c:pt>
                <c:pt idx="17">
                  <c:v>81.7</c:v>
                </c:pt>
                <c:pt idx="18">
                  <c:v>68.400000000000006</c:v>
                </c:pt>
                <c:pt idx="19">
                  <c:v>89.4</c:v>
                </c:pt>
                <c:pt idx="20">
                  <c:v>83.9</c:v>
                </c:pt>
                <c:pt idx="21">
                  <c:v>90.9</c:v>
                </c:pt>
                <c:pt idx="22">
                  <c:v>97.7</c:v>
                </c:pt>
                <c:pt idx="23">
                  <c:v>89.6</c:v>
                </c:pt>
                <c:pt idx="24">
                  <c:v>90.1</c:v>
                </c:pt>
                <c:pt idx="25">
                  <c:v>94.4</c:v>
                </c:pt>
                <c:pt idx="26">
                  <c:v>79.599999999999994</c:v>
                </c:pt>
                <c:pt idx="27">
                  <c:v>87.1</c:v>
                </c:pt>
                <c:pt idx="28">
                  <c:v>88.1</c:v>
                </c:pt>
                <c:pt idx="29">
                  <c:v>88.6</c:v>
                </c:pt>
                <c:pt idx="30">
                  <c:v>95.6</c:v>
                </c:pt>
                <c:pt idx="31">
                  <c:v>82</c:v>
                </c:pt>
                <c:pt idx="32">
                  <c:v>84.9</c:v>
                </c:pt>
                <c:pt idx="33">
                  <c:v>95.2</c:v>
                </c:pt>
                <c:pt idx="34">
                  <c:v>82.3</c:v>
                </c:pt>
                <c:pt idx="35">
                  <c:v>92.2</c:v>
                </c:pt>
                <c:pt idx="36">
                  <c:v>74.7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836160"/>
        <c:axId val="175854336"/>
      </c:barChart>
      <c:catAx>
        <c:axId val="17583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5854336"/>
        <c:crosses val="autoZero"/>
        <c:auto val="1"/>
        <c:lblAlgn val="ctr"/>
        <c:lblOffset val="100"/>
        <c:noMultiLvlLbl val="0"/>
      </c:catAx>
      <c:valAx>
        <c:axId val="175854336"/>
        <c:scaling>
          <c:orientation val="minMax"/>
        </c:scaling>
        <c:delete val="0"/>
        <c:axPos val="l"/>
        <c:majorGridlines/>
        <c:numFmt formatCode="_(* #,##0.0_);_(* \(#,##0.0\);_(* &quot;-&quot;??_);_(@_)" sourceLinked="1"/>
        <c:majorTickMark val="out"/>
        <c:minorTickMark val="none"/>
        <c:tickLblPos val="nextTo"/>
        <c:crossAx val="175836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s-CO" sz="1600"/>
              <a:t>Resultados de Coberturas de Biológicos trazadores</a:t>
            </a:r>
          </a:p>
          <a:p>
            <a:pPr>
              <a:defRPr sz="1600"/>
            </a:pPr>
            <a:r>
              <a:rPr lang="es-CO" sz="1600"/>
              <a:t> DICIEMBRE</a:t>
            </a:r>
            <a:r>
              <a:rPr lang="es-CO" sz="1600" baseline="0"/>
              <a:t> </a:t>
            </a:r>
            <a:r>
              <a:rPr lang="es-CO" sz="1600"/>
              <a:t>2015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dPt>
            <c:idx val="0"/>
            <c:invertIfNegative val="0"/>
            <c:bubble3D val="0"/>
            <c:spPr>
              <a:solidFill>
                <a:srgbClr val="FF66FF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FFCC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</c:spPr>
          </c:dPt>
          <c:dPt>
            <c:idx val="3"/>
            <c:invertIfNegative val="0"/>
            <c:bubble3D val="0"/>
            <c:spPr>
              <a:solidFill>
                <a:srgbClr val="CCFFCC"/>
              </a:solidFill>
            </c:spPr>
          </c:dPt>
          <c:dPt>
            <c:idx val="4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5"/>
            <c:invertIfNegative val="0"/>
            <c:bubble3D val="0"/>
            <c:spPr>
              <a:solidFill>
                <a:srgbClr val="FFFF00"/>
              </a:solidFill>
            </c:spPr>
          </c:dPt>
          <c:dPt>
            <c:idx val="6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</c:spPr>
          </c:dPt>
          <c:dPt>
            <c:idx val="7"/>
            <c:invertIfNegative val="0"/>
            <c:bubble3D val="0"/>
            <c:spPr>
              <a:solidFill>
                <a:srgbClr val="99CCFF"/>
              </a:solidFill>
            </c:spPr>
          </c:dPt>
          <c:dLbls>
            <c:dLbl>
              <c:idx val="0"/>
              <c:layout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'2015'!$BK$19:$BK$27</c:f>
              <c:strCache>
                <c:ptCount val="9"/>
                <c:pt idx="0">
                  <c:v>(VIP) PARENTERAL
&lt;  DE 1 AÑO 1a.Dosis</c:v>
                </c:pt>
                <c:pt idx="1">
                  <c:v>VOP
&lt;1 AÑO
3ras</c:v>
                </c:pt>
                <c:pt idx="2">
                  <c:v>DPT
&lt;1 AÑO
3ras</c:v>
                </c:pt>
                <c:pt idx="3">
                  <c:v>BCG
&lt;1 AÑO
- Unica</c:v>
                </c:pt>
                <c:pt idx="4">
                  <c:v>SRP (T.V.)
AÑO EDAD
- Única</c:v>
                </c:pt>
                <c:pt idx="5">
                  <c:v>FA
1 AÑO 
- Única</c:v>
                </c:pt>
                <c:pt idx="6">
                  <c:v>Neumo (11 Meses 29 Dias) 2da Dosis</c:v>
                </c:pt>
                <c:pt idx="7">
                  <c:v>ROTA (2 - 4 MESES 29 DIAS) 2das Dosis</c:v>
                </c:pt>
                <c:pt idx="8">
                  <c:v>Cob. 
ESPERADA</c:v>
                </c:pt>
              </c:strCache>
            </c:strRef>
          </c:cat>
          <c:val>
            <c:numRef>
              <c:f>'2015'!$BL$19:$BL$27</c:f>
              <c:numCache>
                <c:formatCode>_(* #,##0.0_);_(* \(#,##0.0\);_(* "-"??_);_(@_)</c:formatCode>
                <c:ptCount val="9"/>
                <c:pt idx="0">
                  <c:v>92.1</c:v>
                </c:pt>
                <c:pt idx="1">
                  <c:v>91.4</c:v>
                </c:pt>
                <c:pt idx="2">
                  <c:v>91.4</c:v>
                </c:pt>
                <c:pt idx="3">
                  <c:v>89.7</c:v>
                </c:pt>
                <c:pt idx="4">
                  <c:v>94</c:v>
                </c:pt>
                <c:pt idx="5">
                  <c:v>54.3</c:v>
                </c:pt>
                <c:pt idx="6">
                  <c:v>91.4</c:v>
                </c:pt>
                <c:pt idx="7">
                  <c:v>90.7</c:v>
                </c:pt>
                <c:pt idx="8" formatCode="0.0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559232"/>
        <c:axId val="180565120"/>
      </c:barChart>
      <c:catAx>
        <c:axId val="180559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s-CO"/>
          </a:p>
        </c:txPr>
        <c:crossAx val="180565120"/>
        <c:crosses val="autoZero"/>
        <c:auto val="1"/>
        <c:lblAlgn val="ctr"/>
        <c:lblOffset val="100"/>
        <c:noMultiLvlLbl val="0"/>
      </c:catAx>
      <c:valAx>
        <c:axId val="180565120"/>
        <c:scaling>
          <c:orientation val="minMax"/>
          <c:max val="100"/>
          <c:min val="0"/>
        </c:scaling>
        <c:delete val="0"/>
        <c:axPos val="l"/>
        <c:majorGridlines/>
        <c:numFmt formatCode="_(* #,##0.0_);_(* \(#,##0.0\);_(* &quot;-&quot;??_);_(@_)" sourceLinked="1"/>
        <c:majorTickMark val="out"/>
        <c:minorTickMark val="none"/>
        <c:tickLblPos val="nextTo"/>
        <c:crossAx val="180559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699" l="0.70000000000000062" r="0.70000000000000062" t="0.75000000000000699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2.png"/><Relationship Id="rId4" Type="http://schemas.openxmlformats.org/officeDocument/2006/relationships/image" Target="../media/image1.gif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gif"/><Relationship Id="rId1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image" Target="../media/image2.png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1.gif"/><Relationship Id="rId1" Type="http://schemas.openxmlformats.org/officeDocument/2006/relationships/chart" Target="../charts/chart9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image" Target="../media/image8.png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image" Target="../media/image8.png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1.gif"/><Relationship Id="rId1" Type="http://schemas.openxmlformats.org/officeDocument/2006/relationships/chart" Target="../charts/chart14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1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jpeg"/></Relationships>
</file>

<file path=xl/drawings/_rels/vmlDrawing12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4.jpeg"/></Relationships>
</file>

<file path=xl/drawings/_rels/vmlDrawing1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6.jpeg"/></Relationships>
</file>

<file path=xl/drawings/_rels/vmlDrawing14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eg"/><Relationship Id="rId1" Type="http://schemas.openxmlformats.org/officeDocument/2006/relationships/image" Target="../media/image4.jpeg"/></Relationships>
</file>

<file path=xl/drawings/_rels/vmlDrawing15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eg"/><Relationship Id="rId1" Type="http://schemas.openxmlformats.org/officeDocument/2006/relationships/image" Target="../media/image4.jpeg"/></Relationships>
</file>

<file path=xl/drawings/_rels/vmlDrawing16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eg"/><Relationship Id="rId1" Type="http://schemas.openxmlformats.org/officeDocument/2006/relationships/image" Target="../media/image4.jpeg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476250</xdr:colOff>
      <xdr:row>0</xdr:row>
      <xdr:rowOff>148167</xdr:rowOff>
    </xdr:from>
    <xdr:to>
      <xdr:col>20</xdr:col>
      <xdr:colOff>105750</xdr:colOff>
      <xdr:row>6</xdr:row>
      <xdr:rowOff>24342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81333" y="148167"/>
          <a:ext cx="1174667" cy="828675"/>
        </a:xfrm>
        <a:prstGeom prst="rect">
          <a:avLst/>
        </a:prstGeom>
      </xdr:spPr>
    </xdr:pic>
    <xdr:clientData/>
  </xdr:twoCellAnchor>
  <xdr:twoCellAnchor editAs="oneCell">
    <xdr:from>
      <xdr:col>0</xdr:col>
      <xdr:colOff>105830</xdr:colOff>
      <xdr:row>0</xdr:row>
      <xdr:rowOff>42332</xdr:rowOff>
    </xdr:from>
    <xdr:to>
      <xdr:col>4</xdr:col>
      <xdr:colOff>448730</xdr:colOff>
      <xdr:row>3</xdr:row>
      <xdr:rowOff>148549</xdr:rowOff>
    </xdr:to>
    <xdr:pic>
      <xdr:nvPicPr>
        <xdr:cNvPr id="5" name="4 Imagen" descr="http://intranet.minsalud.gov.co/comunicaciones/Documents/05-Logo-Minsalud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830" y="42332"/>
          <a:ext cx="2724150" cy="582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306916</xdr:colOff>
      <xdr:row>1</xdr:row>
      <xdr:rowOff>0</xdr:rowOff>
    </xdr:from>
    <xdr:to>
      <xdr:col>15</xdr:col>
      <xdr:colOff>317417</xdr:colOff>
      <xdr:row>6</xdr:row>
      <xdr:rowOff>34925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67333" y="158750"/>
          <a:ext cx="1174667" cy="828675"/>
        </a:xfrm>
        <a:prstGeom prst="rect">
          <a:avLst/>
        </a:prstGeom>
      </xdr:spPr>
    </xdr:pic>
    <xdr:clientData/>
  </xdr:twoCellAnchor>
  <xdr:twoCellAnchor editAs="oneCell">
    <xdr:from>
      <xdr:col>0</xdr:col>
      <xdr:colOff>137579</xdr:colOff>
      <xdr:row>0</xdr:row>
      <xdr:rowOff>42332</xdr:rowOff>
    </xdr:from>
    <xdr:to>
      <xdr:col>2</xdr:col>
      <xdr:colOff>459312</xdr:colOff>
      <xdr:row>3</xdr:row>
      <xdr:rowOff>148549</xdr:rowOff>
    </xdr:to>
    <xdr:pic>
      <xdr:nvPicPr>
        <xdr:cNvPr id="5" name="4 Imagen" descr="http://intranet.minsalud.gov.co/comunicaciones/Documents/05-Logo-Minsalud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79" y="42332"/>
          <a:ext cx="2724150" cy="582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709083</xdr:colOff>
      <xdr:row>0</xdr:row>
      <xdr:rowOff>105833</xdr:rowOff>
    </xdr:from>
    <xdr:to>
      <xdr:col>15</xdr:col>
      <xdr:colOff>677250</xdr:colOff>
      <xdr:row>5</xdr:row>
      <xdr:rowOff>140758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0" y="105833"/>
          <a:ext cx="1174667" cy="828675"/>
        </a:xfrm>
        <a:prstGeom prst="rect">
          <a:avLst/>
        </a:prstGeom>
      </xdr:spPr>
    </xdr:pic>
    <xdr:clientData/>
  </xdr:twoCellAnchor>
  <xdr:twoCellAnchor editAs="oneCell">
    <xdr:from>
      <xdr:col>0</xdr:col>
      <xdr:colOff>137579</xdr:colOff>
      <xdr:row>0</xdr:row>
      <xdr:rowOff>42332</xdr:rowOff>
    </xdr:from>
    <xdr:to>
      <xdr:col>2</xdr:col>
      <xdr:colOff>575729</xdr:colOff>
      <xdr:row>3</xdr:row>
      <xdr:rowOff>148549</xdr:rowOff>
    </xdr:to>
    <xdr:pic>
      <xdr:nvPicPr>
        <xdr:cNvPr id="5" name="4 Imagen" descr="http://intranet.minsalud.gov.co/comunicaciones/Documents/05-Logo-Minsalud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79" y="42332"/>
          <a:ext cx="2724150" cy="582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201083</xdr:colOff>
      <xdr:row>0</xdr:row>
      <xdr:rowOff>127000</xdr:rowOff>
    </xdr:from>
    <xdr:to>
      <xdr:col>15</xdr:col>
      <xdr:colOff>370333</xdr:colOff>
      <xdr:row>6</xdr:row>
      <xdr:rowOff>3175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6166" y="127000"/>
          <a:ext cx="1174667" cy="828675"/>
        </a:xfrm>
        <a:prstGeom prst="rect">
          <a:avLst/>
        </a:prstGeom>
      </xdr:spPr>
    </xdr:pic>
    <xdr:clientData/>
  </xdr:twoCellAnchor>
  <xdr:twoCellAnchor editAs="oneCell">
    <xdr:from>
      <xdr:col>0</xdr:col>
      <xdr:colOff>63498</xdr:colOff>
      <xdr:row>0</xdr:row>
      <xdr:rowOff>42332</xdr:rowOff>
    </xdr:from>
    <xdr:to>
      <xdr:col>2</xdr:col>
      <xdr:colOff>512231</xdr:colOff>
      <xdr:row>3</xdr:row>
      <xdr:rowOff>148549</xdr:rowOff>
    </xdr:to>
    <xdr:pic>
      <xdr:nvPicPr>
        <xdr:cNvPr id="5" name="4 Imagen" descr="http://intranet.minsalud.gov.co/comunicaciones/Documents/05-Logo-Minsalud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98" y="42332"/>
          <a:ext cx="2724150" cy="582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211668</xdr:colOff>
      <xdr:row>0</xdr:row>
      <xdr:rowOff>137584</xdr:rowOff>
    </xdr:from>
    <xdr:to>
      <xdr:col>15</xdr:col>
      <xdr:colOff>455001</xdr:colOff>
      <xdr:row>6</xdr:row>
      <xdr:rowOff>13759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01" y="137584"/>
          <a:ext cx="1174667" cy="828675"/>
        </a:xfrm>
        <a:prstGeom prst="rect">
          <a:avLst/>
        </a:prstGeom>
      </xdr:spPr>
    </xdr:pic>
    <xdr:clientData/>
  </xdr:twoCellAnchor>
  <xdr:twoCellAnchor editAs="oneCell">
    <xdr:from>
      <xdr:col>0</xdr:col>
      <xdr:colOff>116413</xdr:colOff>
      <xdr:row>0</xdr:row>
      <xdr:rowOff>31749</xdr:rowOff>
    </xdr:from>
    <xdr:to>
      <xdr:col>2</xdr:col>
      <xdr:colOff>501646</xdr:colOff>
      <xdr:row>3</xdr:row>
      <xdr:rowOff>137966</xdr:rowOff>
    </xdr:to>
    <xdr:pic>
      <xdr:nvPicPr>
        <xdr:cNvPr id="5" name="4 Imagen" descr="http://intranet.minsalud.gov.co/comunicaciones/Documents/05-Logo-Minsalud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13" y="31749"/>
          <a:ext cx="2724150" cy="582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349250</xdr:colOff>
      <xdr:row>0</xdr:row>
      <xdr:rowOff>52917</xdr:rowOff>
    </xdr:from>
    <xdr:to>
      <xdr:col>17</xdr:col>
      <xdr:colOff>391500</xdr:colOff>
      <xdr:row>5</xdr:row>
      <xdr:rowOff>87842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53083" y="52917"/>
          <a:ext cx="1174667" cy="828675"/>
        </a:xfrm>
        <a:prstGeom prst="rect">
          <a:avLst/>
        </a:prstGeom>
      </xdr:spPr>
    </xdr:pic>
    <xdr:clientData/>
  </xdr:twoCellAnchor>
  <xdr:twoCellAnchor editAs="oneCell">
    <xdr:from>
      <xdr:col>0</xdr:col>
      <xdr:colOff>63498</xdr:colOff>
      <xdr:row>0</xdr:row>
      <xdr:rowOff>42332</xdr:rowOff>
    </xdr:from>
    <xdr:to>
      <xdr:col>2</xdr:col>
      <xdr:colOff>406398</xdr:colOff>
      <xdr:row>3</xdr:row>
      <xdr:rowOff>148549</xdr:rowOff>
    </xdr:to>
    <xdr:pic>
      <xdr:nvPicPr>
        <xdr:cNvPr id="5" name="4 Imagen" descr="http://intranet.minsalud.gov.co/comunicaciones/Documents/05-Logo-Minsalud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98" y="42332"/>
          <a:ext cx="2724150" cy="582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254000</xdr:colOff>
      <xdr:row>0</xdr:row>
      <xdr:rowOff>148167</xdr:rowOff>
    </xdr:from>
    <xdr:to>
      <xdr:col>17</xdr:col>
      <xdr:colOff>264500</xdr:colOff>
      <xdr:row>6</xdr:row>
      <xdr:rowOff>24342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43583" y="148167"/>
          <a:ext cx="1174667" cy="828675"/>
        </a:xfrm>
        <a:prstGeom prst="rect">
          <a:avLst/>
        </a:prstGeom>
      </xdr:spPr>
    </xdr:pic>
    <xdr:clientData/>
  </xdr:twoCellAnchor>
  <xdr:twoCellAnchor editAs="oneCell">
    <xdr:from>
      <xdr:col>0</xdr:col>
      <xdr:colOff>158755</xdr:colOff>
      <xdr:row>0</xdr:row>
      <xdr:rowOff>31749</xdr:rowOff>
    </xdr:from>
    <xdr:to>
      <xdr:col>2</xdr:col>
      <xdr:colOff>776822</xdr:colOff>
      <xdr:row>3</xdr:row>
      <xdr:rowOff>137966</xdr:rowOff>
    </xdr:to>
    <xdr:pic>
      <xdr:nvPicPr>
        <xdr:cNvPr id="5" name="4 Imagen" descr="http://intranet.minsalud.gov.co/comunicaciones/Documents/05-Logo-Minsalud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55" y="31749"/>
          <a:ext cx="2724150" cy="582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158750</xdr:colOff>
      <xdr:row>1</xdr:row>
      <xdr:rowOff>31750</xdr:rowOff>
    </xdr:from>
    <xdr:to>
      <xdr:col>24</xdr:col>
      <xdr:colOff>31667</xdr:colOff>
      <xdr:row>6</xdr:row>
      <xdr:rowOff>119592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17500" y="179917"/>
          <a:ext cx="1174667" cy="828675"/>
        </a:xfrm>
        <a:prstGeom prst="rect">
          <a:avLst/>
        </a:prstGeom>
      </xdr:spPr>
    </xdr:pic>
    <xdr:clientData/>
  </xdr:twoCellAnchor>
  <xdr:twoCellAnchor editAs="oneCell">
    <xdr:from>
      <xdr:col>0</xdr:col>
      <xdr:colOff>170762</xdr:colOff>
      <xdr:row>0</xdr:row>
      <xdr:rowOff>34379</xdr:rowOff>
    </xdr:from>
    <xdr:to>
      <xdr:col>3</xdr:col>
      <xdr:colOff>373327</xdr:colOff>
      <xdr:row>4</xdr:row>
      <xdr:rowOff>82426</xdr:rowOff>
    </xdr:to>
    <xdr:pic>
      <xdr:nvPicPr>
        <xdr:cNvPr id="5" name="4 Imagen" descr="http://intranet.minsalud.gov.co/comunicaciones/Documents/05-Logo-Minsalud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762" y="34379"/>
          <a:ext cx="2996565" cy="6407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54</xdr:row>
      <xdr:rowOff>152400</xdr:rowOff>
    </xdr:from>
    <xdr:to>
      <xdr:col>12</xdr:col>
      <xdr:colOff>85725</xdr:colOff>
      <xdr:row>73</xdr:row>
      <xdr:rowOff>152400</xdr:rowOff>
    </xdr:to>
    <xdr:graphicFrame macro="">
      <xdr:nvGraphicFramePr>
        <xdr:cNvPr id="132185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104775</xdr:colOff>
      <xdr:row>54</xdr:row>
      <xdr:rowOff>161925</xdr:rowOff>
    </xdr:from>
    <xdr:to>
      <xdr:col>25</xdr:col>
      <xdr:colOff>523875</xdr:colOff>
      <xdr:row>74</xdr:row>
      <xdr:rowOff>19050</xdr:rowOff>
    </xdr:to>
    <xdr:graphicFrame macro="">
      <xdr:nvGraphicFramePr>
        <xdr:cNvPr id="132186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238125</xdr:colOff>
      <xdr:row>75</xdr:row>
      <xdr:rowOff>0</xdr:rowOff>
    </xdr:from>
    <xdr:to>
      <xdr:col>14</xdr:col>
      <xdr:colOff>76200</xdr:colOff>
      <xdr:row>94</xdr:row>
      <xdr:rowOff>171450</xdr:rowOff>
    </xdr:to>
    <xdr:graphicFrame macro="">
      <xdr:nvGraphicFramePr>
        <xdr:cNvPr id="13218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624417</xdr:colOff>
      <xdr:row>0</xdr:row>
      <xdr:rowOff>116417</xdr:rowOff>
    </xdr:from>
    <xdr:to>
      <xdr:col>20</xdr:col>
      <xdr:colOff>497334</xdr:colOff>
      <xdr:row>6</xdr:row>
      <xdr:rowOff>56092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33917" y="116417"/>
          <a:ext cx="1174667" cy="828675"/>
        </a:xfrm>
        <a:prstGeom prst="rect">
          <a:avLst/>
        </a:prstGeom>
      </xdr:spPr>
    </xdr:pic>
    <xdr:clientData/>
  </xdr:twoCellAnchor>
  <xdr:twoCellAnchor editAs="oneCell">
    <xdr:from>
      <xdr:col>0</xdr:col>
      <xdr:colOff>169328</xdr:colOff>
      <xdr:row>0</xdr:row>
      <xdr:rowOff>21166</xdr:rowOff>
    </xdr:from>
    <xdr:to>
      <xdr:col>3</xdr:col>
      <xdr:colOff>131228</xdr:colOff>
      <xdr:row>4</xdr:row>
      <xdr:rowOff>10966</xdr:rowOff>
    </xdr:to>
    <xdr:pic>
      <xdr:nvPicPr>
        <xdr:cNvPr id="8" name="7 Imagen" descr="http://intranet.minsalud.gov.co/comunicaciones/Documents/05-Logo-Minsalud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328" y="21166"/>
          <a:ext cx="2724150" cy="582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137583</xdr:colOff>
      <xdr:row>0</xdr:row>
      <xdr:rowOff>126996</xdr:rowOff>
    </xdr:from>
    <xdr:to>
      <xdr:col>21</xdr:col>
      <xdr:colOff>10500</xdr:colOff>
      <xdr:row>6</xdr:row>
      <xdr:rowOff>66671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99583" y="126996"/>
          <a:ext cx="1174667" cy="828675"/>
        </a:xfrm>
        <a:prstGeom prst="rect">
          <a:avLst/>
        </a:prstGeom>
      </xdr:spPr>
    </xdr:pic>
    <xdr:clientData/>
  </xdr:twoCellAnchor>
  <xdr:twoCellAnchor editAs="oneCell">
    <xdr:from>
      <xdr:col>0</xdr:col>
      <xdr:colOff>158745</xdr:colOff>
      <xdr:row>0</xdr:row>
      <xdr:rowOff>21166</xdr:rowOff>
    </xdr:from>
    <xdr:to>
      <xdr:col>2</xdr:col>
      <xdr:colOff>872062</xdr:colOff>
      <xdr:row>4</xdr:row>
      <xdr:rowOff>10966</xdr:rowOff>
    </xdr:to>
    <xdr:pic>
      <xdr:nvPicPr>
        <xdr:cNvPr id="5" name="4 Imagen" descr="http://intranet.minsalud.gov.co/comunicaciones/Documents/05-Logo-Minsalud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45" y="21166"/>
          <a:ext cx="2724150" cy="582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98424</xdr:colOff>
      <xdr:row>54</xdr:row>
      <xdr:rowOff>9525</xdr:rowOff>
    </xdr:from>
    <xdr:to>
      <xdr:col>16</xdr:col>
      <xdr:colOff>340782</xdr:colOff>
      <xdr:row>70</xdr:row>
      <xdr:rowOff>81491</xdr:rowOff>
    </xdr:to>
    <xdr:graphicFrame macro="">
      <xdr:nvGraphicFramePr>
        <xdr:cNvPr id="146460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550333</xdr:colOff>
      <xdr:row>0</xdr:row>
      <xdr:rowOff>63500</xdr:rowOff>
    </xdr:from>
    <xdr:to>
      <xdr:col>19</xdr:col>
      <xdr:colOff>423250</xdr:colOff>
      <xdr:row>6</xdr:row>
      <xdr:rowOff>3175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41250" y="63500"/>
          <a:ext cx="1174667" cy="828675"/>
        </a:xfrm>
        <a:prstGeom prst="rect">
          <a:avLst/>
        </a:prstGeom>
      </xdr:spPr>
    </xdr:pic>
    <xdr:clientData/>
  </xdr:twoCellAnchor>
  <xdr:twoCellAnchor editAs="oneCell">
    <xdr:from>
      <xdr:col>0</xdr:col>
      <xdr:colOff>169328</xdr:colOff>
      <xdr:row>0</xdr:row>
      <xdr:rowOff>21166</xdr:rowOff>
    </xdr:from>
    <xdr:to>
      <xdr:col>3</xdr:col>
      <xdr:colOff>14811</xdr:colOff>
      <xdr:row>4</xdr:row>
      <xdr:rowOff>10966</xdr:rowOff>
    </xdr:to>
    <xdr:pic>
      <xdr:nvPicPr>
        <xdr:cNvPr id="6" name="5 Imagen" descr="http://intranet.minsalud.gov.co/comunicaciones/Documents/05-Logo-Minsalud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328" y="21166"/>
          <a:ext cx="2724150" cy="582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158750</xdr:colOff>
      <xdr:row>0</xdr:row>
      <xdr:rowOff>84666</xdr:rowOff>
    </xdr:from>
    <xdr:to>
      <xdr:col>14</xdr:col>
      <xdr:colOff>465584</xdr:colOff>
      <xdr:row>5</xdr:row>
      <xdr:rowOff>119591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02750" y="84666"/>
          <a:ext cx="1174667" cy="828675"/>
        </a:xfrm>
        <a:prstGeom prst="rect">
          <a:avLst/>
        </a:prstGeom>
      </xdr:spPr>
    </xdr:pic>
    <xdr:clientData/>
  </xdr:twoCellAnchor>
  <xdr:twoCellAnchor editAs="oneCell">
    <xdr:from>
      <xdr:col>0</xdr:col>
      <xdr:colOff>56086</xdr:colOff>
      <xdr:row>0</xdr:row>
      <xdr:rowOff>47605</xdr:rowOff>
    </xdr:from>
    <xdr:to>
      <xdr:col>2</xdr:col>
      <xdr:colOff>504819</xdr:colOff>
      <xdr:row>3</xdr:row>
      <xdr:rowOff>153822</xdr:rowOff>
    </xdr:to>
    <xdr:pic>
      <xdr:nvPicPr>
        <xdr:cNvPr id="6" name="5 Imagen" descr="http://intranet.minsalud.gov.co/comunicaciones/Documents/05-Logo-Minsalud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86" y="47605"/>
          <a:ext cx="2724150" cy="582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488674</xdr:colOff>
      <xdr:row>53</xdr:row>
      <xdr:rowOff>44309</xdr:rowOff>
    </xdr:from>
    <xdr:to>
      <xdr:col>17</xdr:col>
      <xdr:colOff>66261</xdr:colOff>
      <xdr:row>70</xdr:row>
      <xdr:rowOff>2897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402167</xdr:colOff>
      <xdr:row>73</xdr:row>
      <xdr:rowOff>0</xdr:rowOff>
    </xdr:from>
    <xdr:to>
      <xdr:col>17</xdr:col>
      <xdr:colOff>200025</xdr:colOff>
      <xdr:row>87</xdr:row>
      <xdr:rowOff>76200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550333</xdr:colOff>
      <xdr:row>0</xdr:row>
      <xdr:rowOff>137582</xdr:rowOff>
    </xdr:from>
    <xdr:to>
      <xdr:col>20</xdr:col>
      <xdr:colOff>359750</xdr:colOff>
      <xdr:row>6</xdr:row>
      <xdr:rowOff>77257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99583" y="137582"/>
          <a:ext cx="1174667" cy="828675"/>
        </a:xfrm>
        <a:prstGeom prst="rect">
          <a:avLst/>
        </a:prstGeom>
      </xdr:spPr>
    </xdr:pic>
    <xdr:clientData/>
  </xdr:twoCellAnchor>
  <xdr:twoCellAnchor editAs="oneCell">
    <xdr:from>
      <xdr:col>0</xdr:col>
      <xdr:colOff>158745</xdr:colOff>
      <xdr:row>0</xdr:row>
      <xdr:rowOff>21166</xdr:rowOff>
    </xdr:from>
    <xdr:to>
      <xdr:col>3</xdr:col>
      <xdr:colOff>173562</xdr:colOff>
      <xdr:row>4</xdr:row>
      <xdr:rowOff>10966</xdr:rowOff>
    </xdr:to>
    <xdr:pic>
      <xdr:nvPicPr>
        <xdr:cNvPr id="7" name="6 Imagen" descr="http://intranet.minsalud.gov.co/comunicaciones/Documents/05-Logo-Minsalud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45" y="21166"/>
          <a:ext cx="2724150" cy="582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689758</xdr:colOff>
      <xdr:row>53</xdr:row>
      <xdr:rowOff>181893</xdr:rowOff>
    </xdr:from>
    <xdr:to>
      <xdr:col>17</xdr:col>
      <xdr:colOff>267345</xdr:colOff>
      <xdr:row>70</xdr:row>
      <xdr:rowOff>140481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402167</xdr:colOff>
      <xdr:row>74</xdr:row>
      <xdr:rowOff>0</xdr:rowOff>
    </xdr:from>
    <xdr:to>
      <xdr:col>17</xdr:col>
      <xdr:colOff>200025</xdr:colOff>
      <xdr:row>88</xdr:row>
      <xdr:rowOff>76200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550333</xdr:colOff>
      <xdr:row>0</xdr:row>
      <xdr:rowOff>137582</xdr:rowOff>
    </xdr:from>
    <xdr:to>
      <xdr:col>20</xdr:col>
      <xdr:colOff>359750</xdr:colOff>
      <xdr:row>6</xdr:row>
      <xdr:rowOff>77257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80533" y="137582"/>
          <a:ext cx="1171492" cy="854075"/>
        </a:xfrm>
        <a:prstGeom prst="rect">
          <a:avLst/>
        </a:prstGeom>
      </xdr:spPr>
    </xdr:pic>
    <xdr:clientData/>
  </xdr:twoCellAnchor>
  <xdr:twoCellAnchor editAs="oneCell">
    <xdr:from>
      <xdr:col>0</xdr:col>
      <xdr:colOff>179911</xdr:colOff>
      <xdr:row>0</xdr:row>
      <xdr:rowOff>21166</xdr:rowOff>
    </xdr:from>
    <xdr:to>
      <xdr:col>3</xdr:col>
      <xdr:colOff>194728</xdr:colOff>
      <xdr:row>4</xdr:row>
      <xdr:rowOff>10966</xdr:rowOff>
    </xdr:to>
    <xdr:pic>
      <xdr:nvPicPr>
        <xdr:cNvPr id="7" name="6 Imagen" descr="http://intranet.minsalud.gov.co/comunicaciones/Documents/05-Logo-Minsalud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911" y="21166"/>
          <a:ext cx="2724150" cy="582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61</xdr:col>
      <xdr:colOff>94692</xdr:colOff>
      <xdr:row>13</xdr:row>
      <xdr:rowOff>148167</xdr:rowOff>
    </xdr:from>
    <xdr:to>
      <xdr:col>66</xdr:col>
      <xdr:colOff>666749</xdr:colOff>
      <xdr:row>36</xdr:row>
      <xdr:rowOff>27423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550333</xdr:colOff>
      <xdr:row>0</xdr:row>
      <xdr:rowOff>137582</xdr:rowOff>
    </xdr:from>
    <xdr:to>
      <xdr:col>20</xdr:col>
      <xdr:colOff>359750</xdr:colOff>
      <xdr:row>6</xdr:row>
      <xdr:rowOff>77257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80533" y="137582"/>
          <a:ext cx="1171492" cy="854075"/>
        </a:xfrm>
        <a:prstGeom prst="rect">
          <a:avLst/>
        </a:prstGeom>
      </xdr:spPr>
    </xdr:pic>
    <xdr:clientData/>
  </xdr:twoCellAnchor>
  <xdr:twoCellAnchor editAs="oneCell">
    <xdr:from>
      <xdr:col>0</xdr:col>
      <xdr:colOff>232834</xdr:colOff>
      <xdr:row>0</xdr:row>
      <xdr:rowOff>0</xdr:rowOff>
    </xdr:from>
    <xdr:to>
      <xdr:col>3</xdr:col>
      <xdr:colOff>1037167</xdr:colOff>
      <xdr:row>4</xdr:row>
      <xdr:rowOff>10583</xdr:rowOff>
    </xdr:to>
    <xdr:pic>
      <xdr:nvPicPr>
        <xdr:cNvPr id="5" name="4 Imagen" descr="Macintosh HD:Users:USUARIO:Downloads:Logo Minsalud:PNG:Logo Minsalud PNG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834" y="0"/>
          <a:ext cx="3725333" cy="6032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352427</xdr:colOff>
      <xdr:row>53</xdr:row>
      <xdr:rowOff>202408</xdr:rowOff>
    </xdr:from>
    <xdr:to>
      <xdr:col>13</xdr:col>
      <xdr:colOff>297657</xdr:colOff>
      <xdr:row>69</xdr:row>
      <xdr:rowOff>16406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19845</xdr:colOff>
      <xdr:row>53</xdr:row>
      <xdr:rowOff>59532</xdr:rowOff>
    </xdr:from>
    <xdr:to>
      <xdr:col>28</xdr:col>
      <xdr:colOff>93927</xdr:colOff>
      <xdr:row>67</xdr:row>
      <xdr:rowOff>176213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35984</xdr:colOff>
      <xdr:row>0</xdr:row>
      <xdr:rowOff>0</xdr:rowOff>
    </xdr:from>
    <xdr:to>
      <xdr:col>22</xdr:col>
      <xdr:colOff>264584</xdr:colOff>
      <xdr:row>6</xdr:row>
      <xdr:rowOff>193675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94067" y="0"/>
          <a:ext cx="1286934" cy="1209675"/>
        </a:xfrm>
        <a:prstGeom prst="rect">
          <a:avLst/>
        </a:prstGeom>
      </xdr:spPr>
    </xdr:pic>
    <xdr:clientData/>
  </xdr:twoCellAnchor>
  <xdr:twoCellAnchor editAs="oneCell">
    <xdr:from>
      <xdr:col>1</xdr:col>
      <xdr:colOff>179916</xdr:colOff>
      <xdr:row>0</xdr:row>
      <xdr:rowOff>21167</xdr:rowOff>
    </xdr:from>
    <xdr:to>
      <xdr:col>5</xdr:col>
      <xdr:colOff>603249</xdr:colOff>
      <xdr:row>4</xdr:row>
      <xdr:rowOff>31750</xdr:rowOff>
    </xdr:to>
    <xdr:pic>
      <xdr:nvPicPr>
        <xdr:cNvPr id="6" name="5 Imagen" descr="Macintosh HD:Users:USUARIO:Downloads:Logo Minsalud:PNG:Logo Minsalud PNG.pn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333" y="21167"/>
          <a:ext cx="3725333" cy="6032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390530</xdr:colOff>
      <xdr:row>73</xdr:row>
      <xdr:rowOff>38101</xdr:rowOff>
    </xdr:from>
    <xdr:to>
      <xdr:col>36</xdr:col>
      <xdr:colOff>219075</xdr:colOff>
      <xdr:row>89</xdr:row>
      <xdr:rowOff>171450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66676</xdr:colOff>
      <xdr:row>54</xdr:row>
      <xdr:rowOff>204787</xdr:rowOff>
    </xdr:from>
    <xdr:to>
      <xdr:col>18</xdr:col>
      <xdr:colOff>238126</xdr:colOff>
      <xdr:row>69</xdr:row>
      <xdr:rowOff>57150</xdr:rowOff>
    </xdr:to>
    <xdr:graphicFrame macro="">
      <xdr:nvGraphicFramePr>
        <xdr:cNvPr id="3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35984</xdr:colOff>
      <xdr:row>0</xdr:row>
      <xdr:rowOff>1</xdr:rowOff>
    </xdr:from>
    <xdr:to>
      <xdr:col>21</xdr:col>
      <xdr:colOff>190501</xdr:colOff>
      <xdr:row>7</xdr:row>
      <xdr:rowOff>169334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1651" y="1"/>
          <a:ext cx="1149350" cy="1397000"/>
        </a:xfrm>
        <a:prstGeom prst="rect">
          <a:avLst/>
        </a:prstGeom>
      </xdr:spPr>
    </xdr:pic>
    <xdr:clientData/>
  </xdr:twoCellAnchor>
  <xdr:twoCellAnchor editAs="oneCell">
    <xdr:from>
      <xdr:col>0</xdr:col>
      <xdr:colOff>296334</xdr:colOff>
      <xdr:row>0</xdr:row>
      <xdr:rowOff>42332</xdr:rowOff>
    </xdr:from>
    <xdr:to>
      <xdr:col>5</xdr:col>
      <xdr:colOff>455084</xdr:colOff>
      <xdr:row>4</xdr:row>
      <xdr:rowOff>52915</xdr:rowOff>
    </xdr:to>
    <xdr:pic>
      <xdr:nvPicPr>
        <xdr:cNvPr id="7" name="6 Imagen" descr="Macintosh HD:Users:USUARIO:Downloads:Logo Minsalud:PNG:Logo Minsalud PNG.pn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334" y="42332"/>
          <a:ext cx="3725333" cy="6032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52</xdr:row>
      <xdr:rowOff>176211</xdr:rowOff>
    </xdr:from>
    <xdr:to>
      <xdr:col>17</xdr:col>
      <xdr:colOff>180974</xdr:colOff>
      <xdr:row>66</xdr:row>
      <xdr:rowOff>180974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35984</xdr:colOff>
      <xdr:row>0</xdr:row>
      <xdr:rowOff>0</xdr:rowOff>
    </xdr:from>
    <xdr:to>
      <xdr:col>21</xdr:col>
      <xdr:colOff>105835</xdr:colOff>
      <xdr:row>7</xdr:row>
      <xdr:rowOff>95250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72234" y="0"/>
          <a:ext cx="1075267" cy="1322917"/>
        </a:xfrm>
        <a:prstGeom prst="rect">
          <a:avLst/>
        </a:prstGeom>
      </xdr:spPr>
    </xdr:pic>
    <xdr:clientData/>
  </xdr:twoCellAnchor>
  <xdr:twoCellAnchor editAs="oneCell">
    <xdr:from>
      <xdr:col>1</xdr:col>
      <xdr:colOff>48684</xdr:colOff>
      <xdr:row>0</xdr:row>
      <xdr:rowOff>32807</xdr:rowOff>
    </xdr:from>
    <xdr:to>
      <xdr:col>5</xdr:col>
      <xdr:colOff>409575</xdr:colOff>
      <xdr:row>3</xdr:row>
      <xdr:rowOff>133350</xdr:rowOff>
    </xdr:to>
    <xdr:pic>
      <xdr:nvPicPr>
        <xdr:cNvPr id="5" name="4 Imagen" descr="Macintosh HD:Users:USUARIO:Downloads:Logo Minsalud:PNG:Logo Minsalud PNG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484" y="32807"/>
          <a:ext cx="3654425" cy="55774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89647</xdr:colOff>
      <xdr:row>55</xdr:row>
      <xdr:rowOff>22413</xdr:rowOff>
    </xdr:from>
    <xdr:to>
      <xdr:col>19</xdr:col>
      <xdr:colOff>11206</xdr:colOff>
      <xdr:row>73</xdr:row>
      <xdr:rowOff>12806</xdr:rowOff>
    </xdr:to>
    <xdr:graphicFrame macro="">
      <xdr:nvGraphicFramePr>
        <xdr:cNvPr id="2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100851</xdr:colOff>
      <xdr:row>77</xdr:row>
      <xdr:rowOff>12326</xdr:rowOff>
    </xdr:from>
    <xdr:to>
      <xdr:col>18</xdr:col>
      <xdr:colOff>324970</xdr:colOff>
      <xdr:row>87</xdr:row>
      <xdr:rowOff>133350</xdr:rowOff>
    </xdr:to>
    <xdr:graphicFrame macro="">
      <xdr:nvGraphicFramePr>
        <xdr:cNvPr id="3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35984</xdr:colOff>
      <xdr:row>0</xdr:row>
      <xdr:rowOff>0</xdr:rowOff>
    </xdr:from>
    <xdr:to>
      <xdr:col>21</xdr:col>
      <xdr:colOff>190501</xdr:colOff>
      <xdr:row>6</xdr:row>
      <xdr:rowOff>201083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88651" y="0"/>
          <a:ext cx="1138767" cy="1280583"/>
        </a:xfrm>
        <a:prstGeom prst="rect">
          <a:avLst/>
        </a:prstGeom>
      </xdr:spPr>
    </xdr:pic>
    <xdr:clientData/>
  </xdr:twoCellAnchor>
  <xdr:twoCellAnchor editAs="oneCell">
    <xdr:from>
      <xdr:col>1</xdr:col>
      <xdr:colOff>74082</xdr:colOff>
      <xdr:row>0</xdr:row>
      <xdr:rowOff>42331</xdr:rowOff>
    </xdr:from>
    <xdr:to>
      <xdr:col>5</xdr:col>
      <xdr:colOff>465666</xdr:colOff>
      <xdr:row>4</xdr:row>
      <xdr:rowOff>42332</xdr:rowOff>
    </xdr:to>
    <xdr:pic>
      <xdr:nvPicPr>
        <xdr:cNvPr id="5" name="4 Imagen" descr="Macintosh HD:Users:USUARIO:Downloads:Logo Minsalud:PNG:Logo Minsalud PNG.pn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999" y="42331"/>
          <a:ext cx="3810000" cy="59266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10584</xdr:colOff>
      <xdr:row>0</xdr:row>
      <xdr:rowOff>116417</xdr:rowOff>
    </xdr:from>
    <xdr:to>
      <xdr:col>12</xdr:col>
      <xdr:colOff>423251</xdr:colOff>
      <xdr:row>5</xdr:row>
      <xdr:rowOff>151342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04667" y="116417"/>
          <a:ext cx="1174667" cy="828675"/>
        </a:xfrm>
        <a:prstGeom prst="rect">
          <a:avLst/>
        </a:prstGeom>
      </xdr:spPr>
    </xdr:pic>
    <xdr:clientData/>
  </xdr:twoCellAnchor>
  <xdr:twoCellAnchor editAs="oneCell">
    <xdr:from>
      <xdr:col>0</xdr:col>
      <xdr:colOff>119584</xdr:colOff>
      <xdr:row>0</xdr:row>
      <xdr:rowOff>26439</xdr:rowOff>
    </xdr:from>
    <xdr:to>
      <xdr:col>2</xdr:col>
      <xdr:colOff>504817</xdr:colOff>
      <xdr:row>3</xdr:row>
      <xdr:rowOff>132656</xdr:rowOff>
    </xdr:to>
    <xdr:pic>
      <xdr:nvPicPr>
        <xdr:cNvPr id="5" name="4 Imagen" descr="http://intranet.minsalud.gov.co/comunicaciones/Documents/05-Logo-Minsalud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584" y="26439"/>
          <a:ext cx="2724150" cy="582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825501</xdr:colOff>
      <xdr:row>0</xdr:row>
      <xdr:rowOff>74084</xdr:rowOff>
    </xdr:from>
    <xdr:to>
      <xdr:col>12</xdr:col>
      <xdr:colOff>359751</xdr:colOff>
      <xdr:row>5</xdr:row>
      <xdr:rowOff>109009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5334" y="74084"/>
          <a:ext cx="1174667" cy="828675"/>
        </a:xfrm>
        <a:prstGeom prst="rect">
          <a:avLst/>
        </a:prstGeom>
      </xdr:spPr>
    </xdr:pic>
    <xdr:clientData/>
  </xdr:twoCellAnchor>
  <xdr:twoCellAnchor editAs="oneCell">
    <xdr:from>
      <xdr:col>0</xdr:col>
      <xdr:colOff>84664</xdr:colOff>
      <xdr:row>0</xdr:row>
      <xdr:rowOff>21166</xdr:rowOff>
    </xdr:from>
    <xdr:to>
      <xdr:col>2</xdr:col>
      <xdr:colOff>501647</xdr:colOff>
      <xdr:row>3</xdr:row>
      <xdr:rowOff>127383</xdr:rowOff>
    </xdr:to>
    <xdr:pic>
      <xdr:nvPicPr>
        <xdr:cNvPr id="5" name="4 Imagen" descr="http://intranet.minsalud.gov.co/comunicaciones/Documents/05-Logo-Minsalud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64" y="21166"/>
          <a:ext cx="2724150" cy="582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751417</xdr:colOff>
      <xdr:row>0</xdr:row>
      <xdr:rowOff>63500</xdr:rowOff>
    </xdr:from>
    <xdr:to>
      <xdr:col>13</xdr:col>
      <xdr:colOff>10500</xdr:colOff>
      <xdr:row>5</xdr:row>
      <xdr:rowOff>98425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0" y="63500"/>
          <a:ext cx="1174667" cy="828675"/>
        </a:xfrm>
        <a:prstGeom prst="rect">
          <a:avLst/>
        </a:prstGeom>
      </xdr:spPr>
    </xdr:pic>
    <xdr:clientData/>
  </xdr:twoCellAnchor>
  <xdr:twoCellAnchor editAs="oneCell">
    <xdr:from>
      <xdr:col>0</xdr:col>
      <xdr:colOff>84664</xdr:colOff>
      <xdr:row>0</xdr:row>
      <xdr:rowOff>42332</xdr:rowOff>
    </xdr:from>
    <xdr:to>
      <xdr:col>2</xdr:col>
      <xdr:colOff>586314</xdr:colOff>
      <xdr:row>3</xdr:row>
      <xdr:rowOff>148549</xdr:rowOff>
    </xdr:to>
    <xdr:pic>
      <xdr:nvPicPr>
        <xdr:cNvPr id="5" name="4 Imagen" descr="http://intranet.minsalud.gov.co/comunicaciones/Documents/05-Logo-Minsalud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64" y="42332"/>
          <a:ext cx="2724150" cy="582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423334</xdr:colOff>
      <xdr:row>0</xdr:row>
      <xdr:rowOff>95250</xdr:rowOff>
    </xdr:from>
    <xdr:to>
      <xdr:col>15</xdr:col>
      <xdr:colOff>412667</xdr:colOff>
      <xdr:row>5</xdr:row>
      <xdr:rowOff>130175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60417" y="95250"/>
          <a:ext cx="1174667" cy="828675"/>
        </a:xfrm>
        <a:prstGeom prst="rect">
          <a:avLst/>
        </a:prstGeom>
      </xdr:spPr>
    </xdr:pic>
    <xdr:clientData/>
  </xdr:twoCellAnchor>
  <xdr:twoCellAnchor editAs="oneCell">
    <xdr:from>
      <xdr:col>0</xdr:col>
      <xdr:colOff>95249</xdr:colOff>
      <xdr:row>0</xdr:row>
      <xdr:rowOff>31749</xdr:rowOff>
    </xdr:from>
    <xdr:to>
      <xdr:col>2</xdr:col>
      <xdr:colOff>501649</xdr:colOff>
      <xdr:row>3</xdr:row>
      <xdr:rowOff>137966</xdr:rowOff>
    </xdr:to>
    <xdr:pic>
      <xdr:nvPicPr>
        <xdr:cNvPr id="5" name="4 Imagen" descr="http://intranet.minsalud.gov.co/comunicaciones/Documents/05-Logo-Minsalud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49" y="31749"/>
          <a:ext cx="2724150" cy="582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508002</xdr:colOff>
      <xdr:row>0</xdr:row>
      <xdr:rowOff>137583</xdr:rowOff>
    </xdr:from>
    <xdr:to>
      <xdr:col>15</xdr:col>
      <xdr:colOff>486752</xdr:colOff>
      <xdr:row>6</xdr:row>
      <xdr:rowOff>13758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08585" y="137583"/>
          <a:ext cx="1174667" cy="828675"/>
        </a:xfrm>
        <a:prstGeom prst="rect">
          <a:avLst/>
        </a:prstGeom>
      </xdr:spPr>
    </xdr:pic>
    <xdr:clientData/>
  </xdr:twoCellAnchor>
  <xdr:twoCellAnchor editAs="oneCell">
    <xdr:from>
      <xdr:col>0</xdr:col>
      <xdr:colOff>105830</xdr:colOff>
      <xdr:row>0</xdr:row>
      <xdr:rowOff>31749</xdr:rowOff>
    </xdr:from>
    <xdr:to>
      <xdr:col>2</xdr:col>
      <xdr:colOff>491063</xdr:colOff>
      <xdr:row>3</xdr:row>
      <xdr:rowOff>137966</xdr:rowOff>
    </xdr:to>
    <xdr:pic>
      <xdr:nvPicPr>
        <xdr:cNvPr id="5" name="4 Imagen" descr="http://intranet.minsalud.gov.co/comunicaciones/Documents/05-Logo-Minsalud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830" y="31749"/>
          <a:ext cx="2724150" cy="582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508000</xdr:colOff>
      <xdr:row>0</xdr:row>
      <xdr:rowOff>74084</xdr:rowOff>
    </xdr:from>
    <xdr:to>
      <xdr:col>15</xdr:col>
      <xdr:colOff>497333</xdr:colOff>
      <xdr:row>5</xdr:row>
      <xdr:rowOff>109009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3833" y="74084"/>
          <a:ext cx="1174667" cy="828675"/>
        </a:xfrm>
        <a:prstGeom prst="rect">
          <a:avLst/>
        </a:prstGeom>
      </xdr:spPr>
    </xdr:pic>
    <xdr:clientData/>
  </xdr:twoCellAnchor>
  <xdr:twoCellAnchor editAs="oneCell">
    <xdr:from>
      <xdr:col>0</xdr:col>
      <xdr:colOff>95247</xdr:colOff>
      <xdr:row>0</xdr:row>
      <xdr:rowOff>42332</xdr:rowOff>
    </xdr:from>
    <xdr:to>
      <xdr:col>2</xdr:col>
      <xdr:colOff>491064</xdr:colOff>
      <xdr:row>3</xdr:row>
      <xdr:rowOff>148549</xdr:rowOff>
    </xdr:to>
    <xdr:pic>
      <xdr:nvPicPr>
        <xdr:cNvPr id="5" name="4 Imagen" descr="http://intranet.minsalud.gov.co/comunicaciones/Documents/05-Logo-Minsalud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47" y="42332"/>
          <a:ext cx="2724150" cy="582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465666</xdr:colOff>
      <xdr:row>0</xdr:row>
      <xdr:rowOff>127000</xdr:rowOff>
    </xdr:from>
    <xdr:to>
      <xdr:col>15</xdr:col>
      <xdr:colOff>433833</xdr:colOff>
      <xdr:row>6</xdr:row>
      <xdr:rowOff>3175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10749" y="127000"/>
          <a:ext cx="1174667" cy="828675"/>
        </a:xfrm>
        <a:prstGeom prst="rect">
          <a:avLst/>
        </a:prstGeom>
      </xdr:spPr>
    </xdr:pic>
    <xdr:clientData/>
  </xdr:twoCellAnchor>
  <xdr:twoCellAnchor editAs="oneCell">
    <xdr:from>
      <xdr:col>0</xdr:col>
      <xdr:colOff>201077</xdr:colOff>
      <xdr:row>0</xdr:row>
      <xdr:rowOff>42332</xdr:rowOff>
    </xdr:from>
    <xdr:to>
      <xdr:col>2</xdr:col>
      <xdr:colOff>438144</xdr:colOff>
      <xdr:row>3</xdr:row>
      <xdr:rowOff>148549</xdr:rowOff>
    </xdr:to>
    <xdr:pic>
      <xdr:nvPicPr>
        <xdr:cNvPr id="5" name="4 Imagen" descr="http://intranet.minsalud.gov.co/comunicaciones/Documents/05-Logo-Minsalud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077" y="42332"/>
          <a:ext cx="2724150" cy="582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18/Coberturas/12_DICIEMBRE%20CONSOLIDADO%20DE%20COBERTURAS%20DEPARTAMENTALES%20y%20MUNICIPALES(21022019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019/Coberturas/12%20DICIEMBRE%20CONSOLIDADO%20DE%20COBERTURAS%20DEPARTAMENTALES%20y%20MUNICIPALES(24022020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NGOS"/>
      <sheetName val="MPIOS2017"/>
      <sheetName val="D2017"/>
      <sheetName val="MUNICIPIOS"/>
      <sheetName val="DEPARTAMENTO"/>
      <sheetName val="TRAZADORES"/>
    </sheetNames>
    <sheetDataSet>
      <sheetData sheetId="0"/>
      <sheetData sheetId="1"/>
      <sheetData sheetId="2"/>
      <sheetData sheetId="3">
        <row r="1127">
          <cell r="E1127">
            <v>12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NGOS"/>
      <sheetName val="MUNICIPIOS2018"/>
      <sheetName val="DEPARTAMENTO2018"/>
      <sheetName val="MUNICIPIOS"/>
      <sheetName val="DEPARTAMENTO"/>
      <sheetName val="TRAZADORES"/>
      <sheetName val="BCG"/>
      <sheetName val="PENTA 3as"/>
      <sheetName val="TV 1 Año"/>
      <sheetName val="TV 5 AÑOS"/>
      <sheetName val="SUSCEPTIBLES"/>
    </sheetNames>
    <sheetDataSet>
      <sheetData sheetId="0"/>
      <sheetData sheetId="1"/>
      <sheetData sheetId="2"/>
      <sheetData sheetId="3">
        <row r="1127">
          <cell r="C1127">
            <v>12</v>
          </cell>
        </row>
        <row r="1129">
          <cell r="BQ1129">
            <v>50</v>
          </cell>
        </row>
        <row r="1130">
          <cell r="BQ1130">
            <v>47.5</v>
          </cell>
          <cell r="BR1130">
            <v>49.99</v>
          </cell>
        </row>
        <row r="1131">
          <cell r="BQ1131">
            <v>45</v>
          </cell>
          <cell r="BR1131">
            <v>47.49</v>
          </cell>
        </row>
        <row r="1132">
          <cell r="BQ1132">
            <v>40</v>
          </cell>
          <cell r="BR1132">
            <v>44.99</v>
          </cell>
        </row>
        <row r="1133">
          <cell r="BQ1133">
            <v>25</v>
          </cell>
          <cell r="BR1133">
            <v>39.99</v>
          </cell>
        </row>
        <row r="1134">
          <cell r="BQ1134">
            <v>0.1</v>
          </cell>
          <cell r="BR1134">
            <v>24.99</v>
          </cell>
        </row>
        <row r="1135">
          <cell r="BQ1135"/>
          <cell r="BR1135"/>
        </row>
      </sheetData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8.v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23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6"/>
  </sheetPr>
  <dimension ref="A5:U48"/>
  <sheetViews>
    <sheetView zoomScale="90" zoomScaleNormal="90" workbookViewId="0">
      <pane xSplit="1" ySplit="10" topLeftCell="B11" activePane="bottomRight" state="frozen"/>
      <selection activeCell="A4" sqref="A4"/>
      <selection pane="topRight" activeCell="A4" sqref="A4"/>
      <selection pane="bottomLeft" activeCell="A4" sqref="A4"/>
      <selection pane="bottomRight" activeCell="B11" sqref="B11"/>
    </sheetView>
  </sheetViews>
  <sheetFormatPr baseColWidth="10" defaultRowHeight="12.75" x14ac:dyDescent="0.2"/>
  <cols>
    <col min="1" max="1" width="23.85546875" style="17" customWidth="1"/>
    <col min="2" max="2" width="11.85546875" style="17" bestFit="1" customWidth="1"/>
    <col min="3" max="3" width="8.85546875" style="17" hidden="1" customWidth="1"/>
    <col min="4" max="4" width="10.5703125" style="17" hidden="1" customWidth="1"/>
    <col min="5" max="5" width="11.28515625" style="17" bestFit="1" customWidth="1"/>
    <col min="6" max="6" width="5.7109375" style="17" customWidth="1"/>
    <col min="7" max="7" width="7" style="17" hidden="1" customWidth="1"/>
    <col min="8" max="8" width="10.28515625" style="17" hidden="1" customWidth="1"/>
    <col min="9" max="9" width="11.28515625" style="17" bestFit="1" customWidth="1"/>
    <col min="10" max="10" width="5.7109375" style="17" customWidth="1"/>
    <col min="11" max="11" width="6" style="17" hidden="1" customWidth="1"/>
    <col min="12" max="12" width="9.7109375" style="17" customWidth="1"/>
    <col min="13" max="13" width="6.85546875" style="17" hidden="1" customWidth="1"/>
    <col min="14" max="14" width="5.7109375" style="17" customWidth="1"/>
    <col min="15" max="15" width="11.28515625" style="17" hidden="1" customWidth="1"/>
    <col min="16" max="16" width="12.28515625" style="17" hidden="1" customWidth="1"/>
    <col min="17" max="17" width="11.28515625" style="17" bestFit="1" customWidth="1"/>
    <col min="18" max="18" width="5.7109375" style="17" customWidth="1"/>
    <col min="19" max="19" width="11.85546875" style="17" bestFit="1" customWidth="1"/>
    <col min="20" max="20" width="11.28515625" style="17" bestFit="1" customWidth="1"/>
    <col min="21" max="21" width="5.7109375" style="17" customWidth="1"/>
    <col min="22" max="16384" width="11.42578125" style="17"/>
  </cols>
  <sheetData>
    <row r="5" spans="1:21" x14ac:dyDescent="0.2">
      <c r="A5" s="702" t="s">
        <v>305</v>
      </c>
      <c r="B5" s="753" t="s">
        <v>329</v>
      </c>
    </row>
    <row r="6" spans="1:21" x14ac:dyDescent="0.2">
      <c r="A6" s="702" t="s">
        <v>306</v>
      </c>
      <c r="B6" s="776">
        <v>34709</v>
      </c>
    </row>
    <row r="7" spans="1:21" x14ac:dyDescent="0.2">
      <c r="A7" s="702" t="s">
        <v>307</v>
      </c>
      <c r="B7" s="766" t="s">
        <v>312</v>
      </c>
    </row>
    <row r="8" spans="1:21" x14ac:dyDescent="0.2">
      <c r="A8" s="41" t="s">
        <v>0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</row>
    <row r="9" spans="1:21" ht="13.5" thickBot="1" x14ac:dyDescent="0.25">
      <c r="A9" s="41" t="s">
        <v>48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</row>
    <row r="10" spans="1:21" ht="13.5" thickBot="1" x14ac:dyDescent="0.25">
      <c r="A10" s="313" t="s">
        <v>1</v>
      </c>
      <c r="B10" s="336" t="s">
        <v>2</v>
      </c>
      <c r="C10" s="337" t="s">
        <v>3</v>
      </c>
      <c r="D10" s="338" t="s">
        <v>4</v>
      </c>
      <c r="E10" s="336" t="s">
        <v>3</v>
      </c>
      <c r="F10" s="339" t="s">
        <v>5</v>
      </c>
      <c r="G10" s="337" t="s">
        <v>6</v>
      </c>
      <c r="H10" s="338" t="s">
        <v>4</v>
      </c>
      <c r="I10" s="336" t="s">
        <v>6</v>
      </c>
      <c r="J10" s="339" t="s">
        <v>5</v>
      </c>
      <c r="K10" s="337" t="s">
        <v>7</v>
      </c>
      <c r="L10" s="336" t="s">
        <v>7</v>
      </c>
      <c r="M10" s="338" t="s">
        <v>8</v>
      </c>
      <c r="N10" s="339" t="s">
        <v>5</v>
      </c>
      <c r="O10" s="337" t="s">
        <v>9</v>
      </c>
      <c r="P10" s="338" t="s">
        <v>10</v>
      </c>
      <c r="Q10" s="336" t="s">
        <v>9</v>
      </c>
      <c r="R10" s="339" t="s">
        <v>5</v>
      </c>
      <c r="S10" s="336" t="s">
        <v>2</v>
      </c>
      <c r="T10" s="336" t="s">
        <v>49</v>
      </c>
      <c r="U10" s="339" t="s">
        <v>5</v>
      </c>
    </row>
    <row r="11" spans="1:21" x14ac:dyDescent="0.2">
      <c r="A11" s="42" t="s">
        <v>12</v>
      </c>
      <c r="B11" s="908">
        <v>1285</v>
      </c>
      <c r="C11" s="530">
        <v>1312</v>
      </c>
      <c r="D11" s="531">
        <f>+C11/B11*100</f>
        <v>102.10116731517509</v>
      </c>
      <c r="E11" s="531">
        <v>1084</v>
      </c>
      <c r="F11" s="44">
        <f>+E11/B11*100</f>
        <v>84.357976653696497</v>
      </c>
      <c r="G11" s="43">
        <v>1107</v>
      </c>
      <c r="H11" s="538">
        <v>79</v>
      </c>
      <c r="I11" s="542">
        <v>969</v>
      </c>
      <c r="J11" s="45">
        <f>(I11/B11)*100</f>
        <v>75.408560311284049</v>
      </c>
      <c r="K11" s="58">
        <v>1341</v>
      </c>
      <c r="L11" s="531">
        <v>1390</v>
      </c>
      <c r="M11" s="43">
        <f>0.98*100</f>
        <v>98</v>
      </c>
      <c r="N11" s="44">
        <f>(L11/B11)*100</f>
        <v>108.17120622568093</v>
      </c>
      <c r="O11" s="43">
        <v>1041</v>
      </c>
      <c r="P11" s="538">
        <v>0.76</v>
      </c>
      <c r="Q11" s="542">
        <v>1037</v>
      </c>
      <c r="R11" s="45">
        <f>+Q11/B11*100</f>
        <v>80.700389105058363</v>
      </c>
      <c r="S11" s="912">
        <v>1935</v>
      </c>
      <c r="T11" s="536">
        <v>844</v>
      </c>
      <c r="U11" s="45">
        <f>+T11/S11*100</f>
        <v>43.617571059431526</v>
      </c>
    </row>
    <row r="12" spans="1:21" x14ac:dyDescent="0.2">
      <c r="A12" s="46" t="s">
        <v>11</v>
      </c>
      <c r="B12" s="909">
        <v>97381</v>
      </c>
      <c r="C12" s="314">
        <v>86005</v>
      </c>
      <c r="D12" s="315">
        <f>+C12/B12*100</f>
        <v>88.318049722225084</v>
      </c>
      <c r="E12" s="315">
        <v>116598</v>
      </c>
      <c r="F12" s="48">
        <f>+E12/B12*100</f>
        <v>119.73382898101272</v>
      </c>
      <c r="G12" s="47">
        <v>85881</v>
      </c>
      <c r="H12" s="539">
        <v>88</v>
      </c>
      <c r="I12" s="543">
        <v>105429</v>
      </c>
      <c r="J12" s="49">
        <f>(I12/B12)*100</f>
        <v>108.2644458364568</v>
      </c>
      <c r="K12" s="60">
        <v>95861</v>
      </c>
      <c r="L12" s="315">
        <v>113518</v>
      </c>
      <c r="M12" s="340">
        <f>0.88*100</f>
        <v>88</v>
      </c>
      <c r="N12" s="48">
        <f>(L12/B12)*100</f>
        <v>116.57099434181207</v>
      </c>
      <c r="O12" s="47">
        <v>83550</v>
      </c>
      <c r="P12" s="540">
        <v>0.7631</v>
      </c>
      <c r="Q12" s="543">
        <v>106181</v>
      </c>
      <c r="R12" s="49">
        <f>+Q12/B12*100</f>
        <v>109.03667039771618</v>
      </c>
      <c r="S12" s="913">
        <v>112637</v>
      </c>
      <c r="T12" s="314">
        <v>83297</v>
      </c>
      <c r="U12" s="49">
        <f>+T12/S12*100</f>
        <v>73.951721015296926</v>
      </c>
    </row>
    <row r="13" spans="1:21" x14ac:dyDescent="0.2">
      <c r="A13" s="46" t="s">
        <v>13</v>
      </c>
      <c r="B13" s="909">
        <v>4370</v>
      </c>
      <c r="C13" s="314">
        <v>3729</v>
      </c>
      <c r="D13" s="315">
        <f>+C13/B13*100</f>
        <v>85.331807780320361</v>
      </c>
      <c r="E13" s="315">
        <v>2348</v>
      </c>
      <c r="F13" s="48">
        <f>+E13/B13*100</f>
        <v>53.729977116704809</v>
      </c>
      <c r="G13" s="47">
        <v>4474</v>
      </c>
      <c r="H13" s="540">
        <v>99</v>
      </c>
      <c r="I13" s="543">
        <v>2508</v>
      </c>
      <c r="J13" s="49">
        <f>(I13/B13)*100</f>
        <v>57.391304347826086</v>
      </c>
      <c r="K13" s="60">
        <v>4776</v>
      </c>
      <c r="L13" s="315">
        <v>2620</v>
      </c>
      <c r="M13" s="47">
        <v>99</v>
      </c>
      <c r="N13" s="48">
        <f>(L13/B13)*100</f>
        <v>59.954233409610978</v>
      </c>
      <c r="O13" s="47">
        <v>3295</v>
      </c>
      <c r="P13" s="540">
        <v>0.75</v>
      </c>
      <c r="Q13" s="543">
        <v>1872</v>
      </c>
      <c r="R13" s="49">
        <f>+Q13/B13*100</f>
        <v>42.837528604118994</v>
      </c>
      <c r="S13" s="913">
        <v>5244</v>
      </c>
      <c r="T13" s="403">
        <v>1792</v>
      </c>
      <c r="U13" s="49">
        <f>+T13/S13*100</f>
        <v>34.172387490465297</v>
      </c>
    </row>
    <row r="14" spans="1:21" x14ac:dyDescent="0.2">
      <c r="A14" s="50" t="s">
        <v>14</v>
      </c>
      <c r="B14" s="909">
        <v>41779</v>
      </c>
      <c r="C14" s="314">
        <v>10880</v>
      </c>
      <c r="D14" s="315">
        <f>+C14/B14*100</f>
        <v>26.041791330572778</v>
      </c>
      <c r="E14" s="315">
        <v>37990</v>
      </c>
      <c r="F14" s="48">
        <f>+E14/B14*100</f>
        <v>90.930850427248146</v>
      </c>
      <c r="G14" s="47">
        <v>10603</v>
      </c>
      <c r="H14" s="540">
        <v>56.2</v>
      </c>
      <c r="I14" s="543">
        <v>34451</v>
      </c>
      <c r="J14" s="49">
        <f>(I14/B14)*100</f>
        <v>82.460087603820099</v>
      </c>
      <c r="K14" s="60">
        <v>10485</v>
      </c>
      <c r="L14" s="315">
        <v>33574</v>
      </c>
      <c r="M14" s="47">
        <v>56.1</v>
      </c>
      <c r="N14" s="48">
        <f>(L14/B14)*100</f>
        <v>80.360946887192128</v>
      </c>
      <c r="O14" s="47">
        <v>9417</v>
      </c>
      <c r="P14" s="540">
        <v>50.4</v>
      </c>
      <c r="Q14" s="543">
        <v>34246</v>
      </c>
      <c r="R14" s="49">
        <f>+Q14/B14*100</f>
        <v>81.969410469374566</v>
      </c>
      <c r="S14" s="913">
        <v>59683</v>
      </c>
      <c r="T14" s="403">
        <v>24088</v>
      </c>
      <c r="U14" s="49">
        <f>+T14/S14*100</f>
        <v>40.35990147948327</v>
      </c>
    </row>
    <row r="15" spans="1:21" x14ac:dyDescent="0.2">
      <c r="A15" s="555" t="s">
        <v>115</v>
      </c>
      <c r="B15" s="910"/>
      <c r="C15" s="403"/>
      <c r="D15" s="395"/>
      <c r="E15" s="315">
        <v>0</v>
      </c>
      <c r="F15" s="341"/>
      <c r="G15" s="341"/>
      <c r="H15" s="350"/>
      <c r="I15" s="544"/>
      <c r="J15" s="342"/>
      <c r="K15" s="344"/>
      <c r="L15" s="395"/>
      <c r="M15" s="341"/>
      <c r="N15" s="341"/>
      <c r="O15" s="341"/>
      <c r="P15" s="350"/>
      <c r="Q15" s="544"/>
      <c r="R15" s="342"/>
      <c r="S15" s="910"/>
      <c r="T15" s="403"/>
      <c r="U15" s="342"/>
    </row>
    <row r="16" spans="1:21" x14ac:dyDescent="0.2">
      <c r="A16" s="50" t="s">
        <v>15</v>
      </c>
      <c r="B16" s="909">
        <v>128908</v>
      </c>
      <c r="C16" s="314">
        <v>102508</v>
      </c>
      <c r="D16" s="315">
        <f>+C16/B16*100</f>
        <v>79.520278027740716</v>
      </c>
      <c r="E16" s="315">
        <v>111541</v>
      </c>
      <c r="F16" s="48">
        <f>+E16/B16*100</f>
        <v>86.527601079839883</v>
      </c>
      <c r="G16" s="47">
        <v>101910</v>
      </c>
      <c r="H16" s="540">
        <v>78</v>
      </c>
      <c r="I16" s="543">
        <v>107844</v>
      </c>
      <c r="J16" s="49">
        <f>(I16/B16)*100</f>
        <v>83.659664256679179</v>
      </c>
      <c r="K16" s="60">
        <v>116973</v>
      </c>
      <c r="L16" s="315">
        <v>130079</v>
      </c>
      <c r="M16" s="47">
        <v>89.1</v>
      </c>
      <c r="N16" s="48">
        <f>(L16/B16)*100</f>
        <v>100.90839978899679</v>
      </c>
      <c r="O16" s="47">
        <v>91904</v>
      </c>
      <c r="P16" s="540">
        <v>70</v>
      </c>
      <c r="Q16" s="543">
        <v>110512</v>
      </c>
      <c r="R16" s="49">
        <f>+Q16/B16*100</f>
        <v>85.729357371148424</v>
      </c>
      <c r="S16" s="913">
        <v>29958</v>
      </c>
      <c r="T16" s="403">
        <v>31566</v>
      </c>
      <c r="U16" s="49">
        <f>+T16/S16*100</f>
        <v>105.36751452032847</v>
      </c>
    </row>
    <row r="17" spans="1:21" x14ac:dyDescent="0.2">
      <c r="A17" s="50" t="s">
        <v>16</v>
      </c>
      <c r="B17" s="909">
        <v>39166</v>
      </c>
      <c r="C17" s="314">
        <v>17739</v>
      </c>
      <c r="D17" s="315">
        <f>+C17/B17*100</f>
        <v>45.291834754634117</v>
      </c>
      <c r="E17" s="315">
        <v>35411</v>
      </c>
      <c r="F17" s="48">
        <f>+E17/B17*100</f>
        <v>90.412602767706687</v>
      </c>
      <c r="G17" s="47">
        <v>17248</v>
      </c>
      <c r="H17" s="540">
        <v>81</v>
      </c>
      <c r="I17" s="543">
        <v>32782</v>
      </c>
      <c r="J17" s="49">
        <f>(I17/B17)*100</f>
        <v>83.700148087627028</v>
      </c>
      <c r="K17" s="60">
        <v>18456</v>
      </c>
      <c r="L17" s="315">
        <v>36133</v>
      </c>
      <c r="M17" s="47">
        <v>86.7</v>
      </c>
      <c r="N17" s="48">
        <f>(L17/B17)*100</f>
        <v>92.256038400653622</v>
      </c>
      <c r="O17" s="47">
        <v>16194</v>
      </c>
      <c r="P17" s="540">
        <v>76</v>
      </c>
      <c r="Q17" s="543">
        <v>31766</v>
      </c>
      <c r="R17" s="49">
        <f>+Q17/B17*100</f>
        <v>81.106061379768164</v>
      </c>
      <c r="S17" s="913">
        <v>45497</v>
      </c>
      <c r="T17" s="403">
        <v>25865</v>
      </c>
      <c r="U17" s="49">
        <f>+T17/S17*100</f>
        <v>56.849902191353273</v>
      </c>
    </row>
    <row r="18" spans="1:21" x14ac:dyDescent="0.2">
      <c r="A18" s="555" t="s">
        <v>45</v>
      </c>
      <c r="B18" s="910"/>
      <c r="C18" s="403"/>
      <c r="D18" s="395"/>
      <c r="E18" s="315">
        <v>0</v>
      </c>
      <c r="F18" s="341"/>
      <c r="G18" s="341"/>
      <c r="H18" s="350"/>
      <c r="I18" s="544"/>
      <c r="J18" s="342"/>
      <c r="K18" s="344"/>
      <c r="L18" s="395"/>
      <c r="M18" s="341"/>
      <c r="N18" s="341"/>
      <c r="O18" s="341"/>
      <c r="P18" s="350"/>
      <c r="Q18" s="544"/>
      <c r="R18" s="342"/>
      <c r="S18" s="910"/>
      <c r="T18" s="403"/>
      <c r="U18" s="342"/>
    </row>
    <row r="19" spans="1:21" x14ac:dyDescent="0.2">
      <c r="A19" s="51" t="s">
        <v>17</v>
      </c>
      <c r="B19" s="909">
        <v>28406</v>
      </c>
      <c r="C19" s="314">
        <v>4104</v>
      </c>
      <c r="D19" s="315">
        <f t="shared" ref="D19:D32" si="0">+C19/B19*100</f>
        <v>14.447651904527211</v>
      </c>
      <c r="E19" s="315">
        <v>25615</v>
      </c>
      <c r="F19" s="48">
        <f t="shared" ref="F19:F32" si="1">+E19/B19*100</f>
        <v>90.174610997676552</v>
      </c>
      <c r="G19" s="47">
        <v>4106</v>
      </c>
      <c r="H19" s="540">
        <v>64.14</v>
      </c>
      <c r="I19" s="543">
        <v>25351</v>
      </c>
      <c r="J19" s="49">
        <f t="shared" ref="J19:J32" si="2">(I19/B19)*100</f>
        <v>89.245229881011056</v>
      </c>
      <c r="K19" s="60">
        <v>4696</v>
      </c>
      <c r="L19" s="315">
        <v>27433</v>
      </c>
      <c r="M19" s="47">
        <v>73.349999999999994</v>
      </c>
      <c r="N19" s="48">
        <f t="shared" ref="N19:N32" si="3">(L19/B19)*100</f>
        <v>96.574667323804832</v>
      </c>
      <c r="O19" s="47">
        <v>4600</v>
      </c>
      <c r="P19" s="540">
        <v>71.849999999999994</v>
      </c>
      <c r="Q19" s="543">
        <v>24365</v>
      </c>
      <c r="R19" s="49">
        <f t="shared" ref="R19:R32" si="4">+Q19/B19*100</f>
        <v>85.774132225586143</v>
      </c>
      <c r="S19" s="913">
        <v>34447</v>
      </c>
      <c r="T19" s="403">
        <v>32290</v>
      </c>
      <c r="U19" s="49">
        <f t="shared" ref="U19:U32" si="5">+T19/S19*100</f>
        <v>93.738206520161398</v>
      </c>
    </row>
    <row r="20" spans="1:21" x14ac:dyDescent="0.2">
      <c r="A20" s="51" t="s">
        <v>19</v>
      </c>
      <c r="B20" s="909">
        <v>20415</v>
      </c>
      <c r="C20" s="314">
        <v>16308</v>
      </c>
      <c r="D20" s="315">
        <f t="shared" si="0"/>
        <v>79.882439382806751</v>
      </c>
      <c r="E20" s="315">
        <v>19592</v>
      </c>
      <c r="F20" s="48">
        <f t="shared" si="1"/>
        <v>95.9686505020818</v>
      </c>
      <c r="G20" s="47">
        <v>16215</v>
      </c>
      <c r="H20" s="540">
        <v>79.81</v>
      </c>
      <c r="I20" s="543">
        <v>19492</v>
      </c>
      <c r="J20" s="49">
        <f t="shared" si="2"/>
        <v>95.478814597109974</v>
      </c>
      <c r="K20" s="60">
        <v>16902</v>
      </c>
      <c r="L20" s="315">
        <v>20197</v>
      </c>
      <c r="M20" s="47">
        <v>83.19</v>
      </c>
      <c r="N20" s="48">
        <f t="shared" si="3"/>
        <v>98.932157727161396</v>
      </c>
      <c r="O20" s="47">
        <v>15572</v>
      </c>
      <c r="P20" s="540">
        <v>76.650000000000006</v>
      </c>
      <c r="Q20" s="543">
        <v>18743</v>
      </c>
      <c r="R20" s="49">
        <f t="shared" si="4"/>
        <v>91.809943668870929</v>
      </c>
      <c r="S20" s="913">
        <v>24025</v>
      </c>
      <c r="T20" s="403">
        <v>11495</v>
      </c>
      <c r="U20" s="49">
        <f t="shared" si="5"/>
        <v>47.845993756503638</v>
      </c>
    </row>
    <row r="21" spans="1:21" x14ac:dyDescent="0.2">
      <c r="A21" s="51" t="s">
        <v>20</v>
      </c>
      <c r="B21" s="909">
        <v>10251</v>
      </c>
      <c r="C21" s="314">
        <v>8528</v>
      </c>
      <c r="D21" s="315">
        <f t="shared" si="0"/>
        <v>83.1918837186616</v>
      </c>
      <c r="E21" s="315">
        <v>10247</v>
      </c>
      <c r="F21" s="48">
        <f t="shared" si="1"/>
        <v>99.960979416642289</v>
      </c>
      <c r="G21" s="47">
        <v>10746</v>
      </c>
      <c r="H21" s="540">
        <v>85</v>
      </c>
      <c r="I21" s="543">
        <v>9929</v>
      </c>
      <c r="J21" s="49">
        <f t="shared" si="2"/>
        <v>96.858843039703444</v>
      </c>
      <c r="K21" s="60">
        <v>9139</v>
      </c>
      <c r="L21" s="315">
        <v>10873</v>
      </c>
      <c r="M21" s="47">
        <f>0.91*100</f>
        <v>91</v>
      </c>
      <c r="N21" s="48">
        <f t="shared" si="3"/>
        <v>106.06770071212566</v>
      </c>
      <c r="O21" s="47">
        <v>8476</v>
      </c>
      <c r="P21" s="540">
        <v>0.85</v>
      </c>
      <c r="Q21" s="543">
        <v>10127</v>
      </c>
      <c r="R21" s="49">
        <f t="shared" si="4"/>
        <v>98.790361915910637</v>
      </c>
      <c r="S21" s="913">
        <v>10439</v>
      </c>
      <c r="T21" s="403">
        <v>8942</v>
      </c>
      <c r="U21" s="49">
        <f t="shared" si="5"/>
        <v>85.65954593351853</v>
      </c>
    </row>
    <row r="22" spans="1:21" x14ac:dyDescent="0.2">
      <c r="A22" s="51" t="s">
        <v>21</v>
      </c>
      <c r="B22" s="909">
        <v>5849</v>
      </c>
      <c r="C22" s="314">
        <v>5870</v>
      </c>
      <c r="D22" s="315">
        <f t="shared" si="0"/>
        <v>100.35903573260387</v>
      </c>
      <c r="E22" s="315">
        <v>5636</v>
      </c>
      <c r="F22" s="48">
        <f t="shared" si="1"/>
        <v>96.358351855017958</v>
      </c>
      <c r="G22" s="47">
        <v>5812</v>
      </c>
      <c r="H22" s="540">
        <v>93</v>
      </c>
      <c r="I22" s="543">
        <v>5571</v>
      </c>
      <c r="J22" s="49">
        <f t="shared" si="2"/>
        <v>95.247050777910758</v>
      </c>
      <c r="K22" s="60">
        <v>6101</v>
      </c>
      <c r="L22" s="315">
        <v>6012</v>
      </c>
      <c r="M22" s="47">
        <v>98</v>
      </c>
      <c r="N22" s="48">
        <f t="shared" si="3"/>
        <v>102.78680116259189</v>
      </c>
      <c r="O22" s="47">
        <v>4889</v>
      </c>
      <c r="P22" s="540">
        <v>78.099999999999994</v>
      </c>
      <c r="Q22" s="543">
        <v>5399</v>
      </c>
      <c r="R22" s="49">
        <f t="shared" si="4"/>
        <v>92.30637715848863</v>
      </c>
      <c r="S22" s="913">
        <v>6027</v>
      </c>
      <c r="T22" s="403">
        <v>3188</v>
      </c>
      <c r="U22" s="49">
        <f t="shared" si="5"/>
        <v>52.895304463248713</v>
      </c>
    </row>
    <row r="23" spans="1:21" x14ac:dyDescent="0.2">
      <c r="A23" s="51" t="s">
        <v>18</v>
      </c>
      <c r="B23" s="909">
        <v>21753</v>
      </c>
      <c r="C23" s="314">
        <v>18024</v>
      </c>
      <c r="D23" s="315">
        <f t="shared" si="0"/>
        <v>82.857536891463241</v>
      </c>
      <c r="E23" s="315">
        <v>19723</v>
      </c>
      <c r="F23" s="48">
        <f t="shared" si="1"/>
        <v>90.667953845446604</v>
      </c>
      <c r="G23" s="47">
        <v>18191</v>
      </c>
      <c r="H23" s="540">
        <v>79.14</v>
      </c>
      <c r="I23" s="543">
        <v>19636</v>
      </c>
      <c r="J23" s="49">
        <f t="shared" si="2"/>
        <v>90.268009010251461</v>
      </c>
      <c r="K23" s="60">
        <v>19564</v>
      </c>
      <c r="L23" s="315">
        <v>22797</v>
      </c>
      <c r="M23" s="47">
        <v>85.12</v>
      </c>
      <c r="N23" s="48">
        <f t="shared" si="3"/>
        <v>104.79933802234174</v>
      </c>
      <c r="O23" s="47">
        <v>16125</v>
      </c>
      <c r="P23" s="540">
        <v>70.16</v>
      </c>
      <c r="Q23" s="543">
        <v>17298</v>
      </c>
      <c r="R23" s="49">
        <f t="shared" si="4"/>
        <v>79.520066197765829</v>
      </c>
      <c r="S23" s="913">
        <v>23229</v>
      </c>
      <c r="T23" s="403">
        <v>8668</v>
      </c>
      <c r="U23" s="49">
        <f t="shared" si="5"/>
        <v>37.315424684661416</v>
      </c>
    </row>
    <row r="24" spans="1:21" x14ac:dyDescent="0.2">
      <c r="A24" s="51" t="s">
        <v>22</v>
      </c>
      <c r="B24" s="909">
        <v>20830</v>
      </c>
      <c r="C24" s="314">
        <v>25921</v>
      </c>
      <c r="D24" s="315">
        <f t="shared" si="0"/>
        <v>124.44071051368219</v>
      </c>
      <c r="E24" s="315">
        <v>17453</v>
      </c>
      <c r="F24" s="48">
        <f t="shared" si="1"/>
        <v>83.787806048967838</v>
      </c>
      <c r="G24" s="47">
        <v>24769</v>
      </c>
      <c r="H24" s="540">
        <v>86</v>
      </c>
      <c r="I24" s="543">
        <v>15786</v>
      </c>
      <c r="J24" s="49">
        <f t="shared" si="2"/>
        <v>75.784925588094097</v>
      </c>
      <c r="K24" s="60">
        <v>27649</v>
      </c>
      <c r="L24" s="315">
        <v>14581</v>
      </c>
      <c r="M24" s="47">
        <f>0.955*100</f>
        <v>95.5</v>
      </c>
      <c r="N24" s="48">
        <f t="shared" si="3"/>
        <v>70</v>
      </c>
      <c r="O24" s="47">
        <v>21312</v>
      </c>
      <c r="P24" s="540">
        <v>0.73499999999999999</v>
      </c>
      <c r="Q24" s="543">
        <v>15215</v>
      </c>
      <c r="R24" s="49">
        <f t="shared" si="4"/>
        <v>73.043686989918385</v>
      </c>
      <c r="S24" s="913">
        <v>30739</v>
      </c>
      <c r="T24" s="403">
        <v>15327</v>
      </c>
      <c r="U24" s="49">
        <f t="shared" si="5"/>
        <v>49.861739158723445</v>
      </c>
    </row>
    <row r="25" spans="1:21" x14ac:dyDescent="0.2">
      <c r="A25" s="51" t="s">
        <v>24</v>
      </c>
      <c r="B25" s="909">
        <v>9091</v>
      </c>
      <c r="C25" s="314">
        <v>7118</v>
      </c>
      <c r="D25" s="315">
        <f t="shared" si="0"/>
        <v>78.297217027829731</v>
      </c>
      <c r="E25" s="315">
        <v>9238</v>
      </c>
      <c r="F25" s="48">
        <f t="shared" si="1"/>
        <v>101.61698383016169</v>
      </c>
      <c r="G25" s="47">
        <v>7373</v>
      </c>
      <c r="H25" s="540">
        <v>75.760000000000005</v>
      </c>
      <c r="I25" s="543">
        <v>8225</v>
      </c>
      <c r="J25" s="49">
        <f t="shared" si="2"/>
        <v>90.474095259047402</v>
      </c>
      <c r="K25" s="60">
        <v>8461</v>
      </c>
      <c r="L25" s="315">
        <v>10602</v>
      </c>
      <c r="M25" s="47">
        <v>86.93</v>
      </c>
      <c r="N25" s="48">
        <f t="shared" si="3"/>
        <v>116.62083379166208</v>
      </c>
      <c r="O25" s="47">
        <v>6235</v>
      </c>
      <c r="P25" s="540">
        <v>64.06</v>
      </c>
      <c r="Q25" s="543">
        <v>8154</v>
      </c>
      <c r="R25" s="49">
        <f t="shared" si="4"/>
        <v>89.693103068969322</v>
      </c>
      <c r="S25" s="913">
        <v>11061</v>
      </c>
      <c r="T25" s="403">
        <v>4674</v>
      </c>
      <c r="U25" s="49">
        <f t="shared" si="5"/>
        <v>42.256577163005154</v>
      </c>
    </row>
    <row r="26" spans="1:21" x14ac:dyDescent="0.2">
      <c r="A26" s="51" t="s">
        <v>23</v>
      </c>
      <c r="B26" s="909">
        <v>31062</v>
      </c>
      <c r="C26" s="314">
        <v>29480</v>
      </c>
      <c r="D26" s="315">
        <f t="shared" si="0"/>
        <v>94.906960273002383</v>
      </c>
      <c r="E26" s="315">
        <v>26653</v>
      </c>
      <c r="F26" s="48">
        <f t="shared" si="1"/>
        <v>85.805807739359992</v>
      </c>
      <c r="G26" s="47">
        <v>28667</v>
      </c>
      <c r="H26" s="540">
        <v>89.36</v>
      </c>
      <c r="I26" s="543">
        <v>25509</v>
      </c>
      <c r="J26" s="49">
        <f t="shared" si="2"/>
        <v>82.122851072049457</v>
      </c>
      <c r="K26" s="60">
        <v>28658</v>
      </c>
      <c r="L26" s="315">
        <v>26374</v>
      </c>
      <c r="M26" s="47">
        <v>89.33</v>
      </c>
      <c r="N26" s="48">
        <f t="shared" si="3"/>
        <v>84.907604146545623</v>
      </c>
      <c r="O26" s="47">
        <v>22432</v>
      </c>
      <c r="P26" s="540">
        <v>70</v>
      </c>
      <c r="Q26" s="543">
        <v>18534</v>
      </c>
      <c r="R26" s="49">
        <f t="shared" si="4"/>
        <v>59.667761251690166</v>
      </c>
      <c r="S26" s="913">
        <v>37248</v>
      </c>
      <c r="T26" s="403">
        <v>15560</v>
      </c>
      <c r="U26" s="49">
        <f t="shared" si="5"/>
        <v>41.774054982817873</v>
      </c>
    </row>
    <row r="27" spans="1:21" x14ac:dyDescent="0.2">
      <c r="A27" s="556" t="s">
        <v>122</v>
      </c>
      <c r="B27" s="909">
        <v>38725</v>
      </c>
      <c r="C27" s="314">
        <v>28493</v>
      </c>
      <c r="D27" s="315">
        <f t="shared" si="0"/>
        <v>73.577792123950942</v>
      </c>
      <c r="E27" s="315">
        <v>35440</v>
      </c>
      <c r="F27" s="48">
        <f t="shared" si="1"/>
        <v>91.517107811491286</v>
      </c>
      <c r="G27" s="47">
        <v>28673</v>
      </c>
      <c r="H27" s="540">
        <v>73</v>
      </c>
      <c r="I27" s="543">
        <v>34907</v>
      </c>
      <c r="J27" s="49">
        <f t="shared" si="2"/>
        <v>90.14073595868301</v>
      </c>
      <c r="K27" s="60">
        <v>34497</v>
      </c>
      <c r="L27" s="315">
        <v>41528</v>
      </c>
      <c r="M27" s="47">
        <v>88</v>
      </c>
      <c r="N27" s="48">
        <f t="shared" si="3"/>
        <v>107.23821820529373</v>
      </c>
      <c r="O27" s="47">
        <v>28402</v>
      </c>
      <c r="P27" s="540">
        <v>72</v>
      </c>
      <c r="Q27" s="543">
        <v>35897</v>
      </c>
      <c r="R27" s="49">
        <f t="shared" si="4"/>
        <v>92.697224015493859</v>
      </c>
      <c r="S27" s="913">
        <v>114</v>
      </c>
      <c r="T27" s="403">
        <v>0</v>
      </c>
      <c r="U27" s="49">
        <f t="shared" si="5"/>
        <v>0</v>
      </c>
    </row>
    <row r="28" spans="1:21" x14ac:dyDescent="0.2">
      <c r="A28" s="51" t="s">
        <v>25</v>
      </c>
      <c r="B28" s="909">
        <v>600</v>
      </c>
      <c r="C28" s="314">
        <v>266</v>
      </c>
      <c r="D28" s="315">
        <f t="shared" si="0"/>
        <v>44.333333333333336</v>
      </c>
      <c r="E28" s="315">
        <v>598</v>
      </c>
      <c r="F28" s="48">
        <f t="shared" si="1"/>
        <v>99.666666666666671</v>
      </c>
      <c r="G28" s="47">
        <v>280</v>
      </c>
      <c r="H28" s="540">
        <v>39</v>
      </c>
      <c r="I28" s="543">
        <v>513</v>
      </c>
      <c r="J28" s="49">
        <f t="shared" si="2"/>
        <v>85.5</v>
      </c>
      <c r="K28" s="60">
        <v>536</v>
      </c>
      <c r="L28" s="315">
        <v>647</v>
      </c>
      <c r="M28" s="47">
        <v>75</v>
      </c>
      <c r="N28" s="48">
        <f t="shared" si="3"/>
        <v>107.83333333333334</v>
      </c>
      <c r="O28" s="47">
        <v>298</v>
      </c>
      <c r="P28" s="540">
        <v>41</v>
      </c>
      <c r="Q28" s="543">
        <v>531</v>
      </c>
      <c r="R28" s="49">
        <f t="shared" si="4"/>
        <v>88.5</v>
      </c>
      <c r="S28" s="913">
        <v>720</v>
      </c>
      <c r="T28" s="403">
        <v>247</v>
      </c>
      <c r="U28" s="49">
        <f t="shared" si="5"/>
        <v>34.305555555555557</v>
      </c>
    </row>
    <row r="29" spans="1:21" x14ac:dyDescent="0.2">
      <c r="A29" s="51" t="s">
        <v>26</v>
      </c>
      <c r="B29" s="909">
        <v>1662</v>
      </c>
      <c r="C29" s="314">
        <v>911</v>
      </c>
      <c r="D29" s="315">
        <f t="shared" si="0"/>
        <v>54.813477737665458</v>
      </c>
      <c r="E29" s="315">
        <v>1329</v>
      </c>
      <c r="F29" s="48">
        <f t="shared" si="1"/>
        <v>79.963898916967509</v>
      </c>
      <c r="G29" s="47">
        <v>926</v>
      </c>
      <c r="H29" s="540">
        <v>45.81</v>
      </c>
      <c r="I29" s="543">
        <v>1313</v>
      </c>
      <c r="J29" s="49">
        <f t="shared" si="2"/>
        <v>79.001203369434421</v>
      </c>
      <c r="K29" s="60">
        <v>1510</v>
      </c>
      <c r="L29" s="315">
        <v>2445</v>
      </c>
      <c r="M29" s="47">
        <v>74.7</v>
      </c>
      <c r="N29" s="48">
        <f t="shared" si="3"/>
        <v>147.11191335740074</v>
      </c>
      <c r="O29" s="47">
        <v>794</v>
      </c>
      <c r="P29" s="540">
        <v>39.28</v>
      </c>
      <c r="Q29" s="543">
        <v>1541</v>
      </c>
      <c r="R29" s="49">
        <f t="shared" si="4"/>
        <v>92.719614921780988</v>
      </c>
      <c r="S29" s="913">
        <v>1662</v>
      </c>
      <c r="T29" s="403">
        <v>1003</v>
      </c>
      <c r="U29" s="49">
        <f t="shared" si="5"/>
        <v>60.348977135980739</v>
      </c>
    </row>
    <row r="30" spans="1:21" x14ac:dyDescent="0.2">
      <c r="A30" s="51" t="s">
        <v>27</v>
      </c>
      <c r="B30" s="909">
        <v>23215</v>
      </c>
      <c r="C30" s="314">
        <v>20092</v>
      </c>
      <c r="D30" s="315">
        <f t="shared" si="0"/>
        <v>86.547490846435494</v>
      </c>
      <c r="E30" s="315">
        <v>20910</v>
      </c>
      <c r="F30" s="48">
        <f t="shared" si="1"/>
        <v>90.071074736161961</v>
      </c>
      <c r="G30" s="47">
        <v>19989</v>
      </c>
      <c r="H30" s="540"/>
      <c r="I30" s="543">
        <v>20721</v>
      </c>
      <c r="J30" s="49">
        <f t="shared" si="2"/>
        <v>89.256945940124922</v>
      </c>
      <c r="K30" s="60">
        <v>21912</v>
      </c>
      <c r="L30" s="315">
        <v>20885</v>
      </c>
      <c r="M30" s="47"/>
      <c r="N30" s="48">
        <f t="shared" si="3"/>
        <v>89.963385741977177</v>
      </c>
      <c r="O30" s="47"/>
      <c r="P30" s="540"/>
      <c r="Q30" s="543">
        <v>18462</v>
      </c>
      <c r="R30" s="49">
        <f t="shared" si="4"/>
        <v>79.526168425586903</v>
      </c>
      <c r="S30" s="913">
        <v>28431</v>
      </c>
      <c r="T30" s="403">
        <v>12348</v>
      </c>
      <c r="U30" s="49">
        <f t="shared" si="5"/>
        <v>43.43146565368788</v>
      </c>
    </row>
    <row r="31" spans="1:21" x14ac:dyDescent="0.2">
      <c r="A31" s="557" t="s">
        <v>124</v>
      </c>
      <c r="B31" s="909">
        <v>10531</v>
      </c>
      <c r="C31" s="314">
        <v>9004</v>
      </c>
      <c r="D31" s="315">
        <f t="shared" si="0"/>
        <v>85.499952521128094</v>
      </c>
      <c r="E31" s="315">
        <v>10598</v>
      </c>
      <c r="F31" s="48">
        <f t="shared" si="1"/>
        <v>100.63621688348685</v>
      </c>
      <c r="G31" s="47">
        <v>8693</v>
      </c>
      <c r="H31" s="540">
        <v>80.709999999999994</v>
      </c>
      <c r="I31" s="543">
        <v>10562</v>
      </c>
      <c r="J31" s="49">
        <f t="shared" si="2"/>
        <v>100.29436900579243</v>
      </c>
      <c r="K31" s="60">
        <v>9385</v>
      </c>
      <c r="L31" s="315">
        <v>12542</v>
      </c>
      <c r="M31" s="47">
        <v>87.38</v>
      </c>
      <c r="N31" s="48">
        <f t="shared" si="3"/>
        <v>119.09600227898585</v>
      </c>
      <c r="O31" s="47">
        <v>7525</v>
      </c>
      <c r="P31" s="540">
        <v>69.86</v>
      </c>
      <c r="Q31" s="543">
        <v>8802</v>
      </c>
      <c r="R31" s="49">
        <f t="shared" si="4"/>
        <v>83.581806096287153</v>
      </c>
      <c r="S31" s="913">
        <v>14231</v>
      </c>
      <c r="T31" s="403">
        <v>6701</v>
      </c>
      <c r="U31" s="49">
        <f t="shared" si="5"/>
        <v>47.087344529548169</v>
      </c>
    </row>
    <row r="32" spans="1:21" x14ac:dyDescent="0.2">
      <c r="A32" s="51" t="s">
        <v>28</v>
      </c>
      <c r="B32" s="909">
        <v>24582</v>
      </c>
      <c r="C32" s="314">
        <v>21418</v>
      </c>
      <c r="D32" s="315">
        <f t="shared" si="0"/>
        <v>87.12879342608413</v>
      </c>
      <c r="E32" s="315">
        <v>23335</v>
      </c>
      <c r="F32" s="48">
        <f t="shared" si="1"/>
        <v>94.92718249125376</v>
      </c>
      <c r="G32" s="47">
        <v>21144</v>
      </c>
      <c r="H32" s="540">
        <v>84</v>
      </c>
      <c r="I32" s="543">
        <v>22900</v>
      </c>
      <c r="J32" s="49">
        <f t="shared" si="2"/>
        <v>93.157594988202746</v>
      </c>
      <c r="K32" s="60">
        <v>20908</v>
      </c>
      <c r="L32" s="315">
        <v>20061</v>
      </c>
      <c r="M32" s="47">
        <v>83</v>
      </c>
      <c r="N32" s="48">
        <f t="shared" si="3"/>
        <v>81.608494020014646</v>
      </c>
      <c r="O32" s="47">
        <v>18236</v>
      </c>
      <c r="P32" s="540">
        <v>0.73</v>
      </c>
      <c r="Q32" s="543">
        <v>20531</v>
      </c>
      <c r="R32" s="49">
        <f t="shared" si="4"/>
        <v>83.520462126759426</v>
      </c>
      <c r="S32" s="913">
        <v>28089</v>
      </c>
      <c r="T32" s="403">
        <v>20237</v>
      </c>
      <c r="U32" s="49">
        <f t="shared" si="5"/>
        <v>72.045996653494242</v>
      </c>
    </row>
    <row r="33" spans="1:21" x14ac:dyDescent="0.2">
      <c r="A33" s="555" t="s">
        <v>127</v>
      </c>
      <c r="B33" s="910"/>
      <c r="C33" s="403"/>
      <c r="D33" s="395"/>
      <c r="E33" s="315">
        <v>0</v>
      </c>
      <c r="F33" s="341"/>
      <c r="G33" s="341"/>
      <c r="H33" s="350"/>
      <c r="I33" s="544"/>
      <c r="J33" s="342"/>
      <c r="K33" s="344"/>
      <c r="L33" s="395"/>
      <c r="M33" s="341"/>
      <c r="N33" s="341"/>
      <c r="O33" s="341"/>
      <c r="P33" s="350"/>
      <c r="Q33" s="544"/>
      <c r="R33" s="342"/>
      <c r="S33" s="910"/>
      <c r="T33" s="403"/>
      <c r="U33" s="342"/>
    </row>
    <row r="34" spans="1:21" x14ac:dyDescent="0.2">
      <c r="A34" s="51" t="s">
        <v>29</v>
      </c>
      <c r="B34" s="909">
        <v>17301</v>
      </c>
      <c r="C34" s="314">
        <v>13182</v>
      </c>
      <c r="D34" s="315">
        <f t="shared" ref="D34:D47" si="6">+C34/B34*100</f>
        <v>76.192127622680772</v>
      </c>
      <c r="E34" s="315">
        <v>14838</v>
      </c>
      <c r="F34" s="48">
        <f t="shared" ref="F34:F47" si="7">+E34/B34*100</f>
        <v>85.763828680423089</v>
      </c>
      <c r="G34" s="47">
        <v>13137</v>
      </c>
      <c r="H34" s="540">
        <v>73.599999999999994</v>
      </c>
      <c r="I34" s="543">
        <v>14673</v>
      </c>
      <c r="J34" s="49">
        <f t="shared" ref="J34:J47" si="8">(I34/B34)*100</f>
        <v>84.810126582278471</v>
      </c>
      <c r="K34" s="60">
        <v>14534</v>
      </c>
      <c r="L34" s="315">
        <v>15595</v>
      </c>
      <c r="M34" s="47">
        <v>81.5</v>
      </c>
      <c r="N34" s="48">
        <f t="shared" ref="N34:N47" si="9">(L34/B34)*100</f>
        <v>90.139298306456269</v>
      </c>
      <c r="O34" s="47">
        <v>11646</v>
      </c>
      <c r="P34" s="540">
        <v>65.3</v>
      </c>
      <c r="Q34" s="543">
        <v>13404</v>
      </c>
      <c r="R34" s="49">
        <f t="shared" ref="R34:R47" si="10">+Q34/B34*100</f>
        <v>77.475290445638976</v>
      </c>
      <c r="S34" s="913">
        <v>20751</v>
      </c>
      <c r="T34" s="403">
        <v>8112</v>
      </c>
      <c r="U34" s="49">
        <f t="shared" ref="U34:U47" si="11">+T34/S34*100</f>
        <v>39.092091947376026</v>
      </c>
    </row>
    <row r="35" spans="1:21" x14ac:dyDescent="0.2">
      <c r="A35" s="51" t="s">
        <v>30</v>
      </c>
      <c r="B35" s="909">
        <v>30156</v>
      </c>
      <c r="C35" s="314">
        <v>22013</v>
      </c>
      <c r="D35" s="315">
        <f t="shared" si="6"/>
        <v>72.997081841092978</v>
      </c>
      <c r="E35" s="315">
        <v>28861</v>
      </c>
      <c r="F35" s="48">
        <f t="shared" si="7"/>
        <v>95.705663881151352</v>
      </c>
      <c r="G35" s="47">
        <v>22054</v>
      </c>
      <c r="H35" s="540">
        <v>71.58</v>
      </c>
      <c r="I35" s="543">
        <v>28241</v>
      </c>
      <c r="J35" s="49">
        <f t="shared" si="8"/>
        <v>93.649688287571294</v>
      </c>
      <c r="K35" s="60">
        <v>25968</v>
      </c>
      <c r="L35" s="315">
        <v>31128</v>
      </c>
      <c r="M35" s="47">
        <v>84.29</v>
      </c>
      <c r="N35" s="48">
        <f t="shared" si="9"/>
        <v>103.22323915638678</v>
      </c>
      <c r="O35" s="47">
        <v>20227</v>
      </c>
      <c r="P35" s="540">
        <v>65.67</v>
      </c>
      <c r="Q35" s="543">
        <v>26337</v>
      </c>
      <c r="R35" s="49">
        <f t="shared" si="10"/>
        <v>87.335853561480306</v>
      </c>
      <c r="S35" s="913">
        <v>33172</v>
      </c>
      <c r="T35" s="403">
        <v>24699</v>
      </c>
      <c r="U35" s="49">
        <f t="shared" si="11"/>
        <v>74.457373688653078</v>
      </c>
    </row>
    <row r="36" spans="1:21" x14ac:dyDescent="0.2">
      <c r="A36" s="559" t="s">
        <v>125</v>
      </c>
      <c r="B36" s="909">
        <v>27082</v>
      </c>
      <c r="C36" s="314">
        <v>21404</v>
      </c>
      <c r="D36" s="315">
        <f t="shared" si="6"/>
        <v>79.034044752972449</v>
      </c>
      <c r="E36" s="315">
        <v>23871</v>
      </c>
      <c r="F36" s="48">
        <f t="shared" si="7"/>
        <v>88.143416291263563</v>
      </c>
      <c r="G36" s="47">
        <v>21707</v>
      </c>
      <c r="H36" s="540">
        <v>85</v>
      </c>
      <c r="I36" s="543">
        <v>23407</v>
      </c>
      <c r="J36" s="49">
        <f t="shared" si="8"/>
        <v>86.430101174211643</v>
      </c>
      <c r="K36" s="60">
        <v>26502</v>
      </c>
      <c r="L36" s="315">
        <v>29269</v>
      </c>
      <c r="M36" s="47">
        <v>99</v>
      </c>
      <c r="N36" s="48">
        <f t="shared" si="9"/>
        <v>108.07547448489771</v>
      </c>
      <c r="O36" s="47">
        <v>20697</v>
      </c>
      <c r="P36" s="540">
        <v>81</v>
      </c>
      <c r="Q36" s="543">
        <v>22383</v>
      </c>
      <c r="R36" s="49">
        <f t="shared" si="10"/>
        <v>82.648991950372945</v>
      </c>
      <c r="S36" s="913">
        <v>30545</v>
      </c>
      <c r="T36" s="403">
        <v>12572</v>
      </c>
      <c r="U36" s="49">
        <f t="shared" si="11"/>
        <v>41.158945817646099</v>
      </c>
    </row>
    <row r="37" spans="1:21" x14ac:dyDescent="0.2">
      <c r="A37" s="51" t="s">
        <v>31</v>
      </c>
      <c r="B37" s="909">
        <v>5809</v>
      </c>
      <c r="C37" s="314">
        <v>4409</v>
      </c>
      <c r="D37" s="315">
        <f t="shared" si="6"/>
        <v>75.899466345326218</v>
      </c>
      <c r="E37" s="315">
        <v>3252</v>
      </c>
      <c r="F37" s="48">
        <f t="shared" si="7"/>
        <v>55.982096746427956</v>
      </c>
      <c r="G37" s="47">
        <v>4311</v>
      </c>
      <c r="H37" s="540">
        <v>54.9</v>
      </c>
      <c r="I37" s="543">
        <v>3241</v>
      </c>
      <c r="J37" s="49">
        <f t="shared" si="8"/>
        <v>55.792735410569804</v>
      </c>
      <c r="K37" s="60">
        <v>4777</v>
      </c>
      <c r="L37" s="315">
        <v>3407</v>
      </c>
      <c r="M37" s="47">
        <v>60.8</v>
      </c>
      <c r="N37" s="48">
        <f t="shared" si="9"/>
        <v>58.650370115338269</v>
      </c>
      <c r="O37" s="47">
        <v>3571</v>
      </c>
      <c r="P37" s="540">
        <v>45.4</v>
      </c>
      <c r="Q37" s="543">
        <v>4023</v>
      </c>
      <c r="R37" s="49">
        <f t="shared" si="10"/>
        <v>69.254604923394737</v>
      </c>
      <c r="S37" s="913">
        <v>6160</v>
      </c>
      <c r="T37" s="403">
        <v>3852</v>
      </c>
      <c r="U37" s="49">
        <f t="shared" si="11"/>
        <v>62.532467532467528</v>
      </c>
    </row>
    <row r="38" spans="1:21" x14ac:dyDescent="0.2">
      <c r="A38" s="51" t="s">
        <v>32</v>
      </c>
      <c r="B38" s="909">
        <v>11513</v>
      </c>
      <c r="C38" s="314">
        <v>9550</v>
      </c>
      <c r="D38" s="315">
        <f t="shared" si="6"/>
        <v>82.949709024580912</v>
      </c>
      <c r="E38" s="315">
        <v>9393</v>
      </c>
      <c r="F38" s="48">
        <f t="shared" si="7"/>
        <v>81.586033179883614</v>
      </c>
      <c r="G38" s="47">
        <v>9607</v>
      </c>
      <c r="H38" s="540">
        <v>99</v>
      </c>
      <c r="I38" s="543">
        <v>9635</v>
      </c>
      <c r="J38" s="49">
        <f t="shared" si="8"/>
        <v>83.688004864066713</v>
      </c>
      <c r="K38" s="60">
        <v>10714</v>
      </c>
      <c r="L38" s="315">
        <v>11393</v>
      </c>
      <c r="M38" s="47">
        <v>95</v>
      </c>
      <c r="N38" s="48">
        <f t="shared" si="9"/>
        <v>98.957699991314158</v>
      </c>
      <c r="O38" s="47">
        <v>8630</v>
      </c>
      <c r="P38" s="540">
        <v>0.77</v>
      </c>
      <c r="Q38" s="543">
        <v>9414</v>
      </c>
      <c r="R38" s="49">
        <f t="shared" si="10"/>
        <v>81.768435681403631</v>
      </c>
      <c r="S38" s="913">
        <v>7572</v>
      </c>
      <c r="T38" s="403">
        <v>5348</v>
      </c>
      <c r="U38" s="49">
        <f t="shared" si="11"/>
        <v>70.628631801373473</v>
      </c>
    </row>
    <row r="39" spans="1:21" x14ac:dyDescent="0.2">
      <c r="A39" s="51" t="s">
        <v>33</v>
      </c>
      <c r="B39" s="909">
        <v>17816</v>
      </c>
      <c r="C39" s="314">
        <v>14022</v>
      </c>
      <c r="D39" s="315">
        <f t="shared" si="6"/>
        <v>78.704535249214189</v>
      </c>
      <c r="E39" s="315">
        <v>15128</v>
      </c>
      <c r="F39" s="48">
        <f t="shared" si="7"/>
        <v>84.912438257745848</v>
      </c>
      <c r="G39" s="47">
        <v>14442</v>
      </c>
      <c r="H39" s="540">
        <v>79.599999999999994</v>
      </c>
      <c r="I39" s="543">
        <v>15292</v>
      </c>
      <c r="J39" s="49">
        <f t="shared" si="8"/>
        <v>85.832959137853621</v>
      </c>
      <c r="K39" s="60">
        <v>14899</v>
      </c>
      <c r="L39" s="315">
        <v>18348</v>
      </c>
      <c r="M39" s="47">
        <v>82.1</v>
      </c>
      <c r="N39" s="48">
        <f t="shared" si="9"/>
        <v>102.98607992815447</v>
      </c>
      <c r="O39" s="47">
        <v>11426</v>
      </c>
      <c r="P39" s="540">
        <v>63</v>
      </c>
      <c r="Q39" s="543">
        <v>14337</v>
      </c>
      <c r="R39" s="49">
        <f t="shared" si="10"/>
        <v>80.472608890884601</v>
      </c>
      <c r="S39" s="913">
        <v>21876</v>
      </c>
      <c r="T39" s="403">
        <v>11455</v>
      </c>
      <c r="U39" s="49">
        <f t="shared" si="11"/>
        <v>52.363320533918447</v>
      </c>
    </row>
    <row r="40" spans="1:21" x14ac:dyDescent="0.2">
      <c r="A40" s="51" t="s">
        <v>34</v>
      </c>
      <c r="B40" s="909">
        <v>1874</v>
      </c>
      <c r="C40" s="314">
        <v>921</v>
      </c>
      <c r="D40" s="315">
        <f t="shared" si="6"/>
        <v>49.146211312700103</v>
      </c>
      <c r="E40" s="315">
        <v>1256</v>
      </c>
      <c r="F40" s="48">
        <f t="shared" si="7"/>
        <v>67.022411953041626</v>
      </c>
      <c r="G40" s="47">
        <v>923</v>
      </c>
      <c r="H40" s="540">
        <v>56.3</v>
      </c>
      <c r="I40" s="543">
        <v>1284</v>
      </c>
      <c r="J40" s="49">
        <f t="shared" si="8"/>
        <v>68.516542155816438</v>
      </c>
      <c r="K40" s="60">
        <v>826</v>
      </c>
      <c r="L40" s="315">
        <v>1267</v>
      </c>
      <c r="M40" s="47">
        <v>50.4</v>
      </c>
      <c r="N40" s="48">
        <f t="shared" si="9"/>
        <v>67.609391675560303</v>
      </c>
      <c r="O40" s="47">
        <v>977</v>
      </c>
      <c r="P40" s="540">
        <v>59.6</v>
      </c>
      <c r="Q40" s="543">
        <v>1388</v>
      </c>
      <c r="R40" s="49">
        <f t="shared" si="10"/>
        <v>74.066168623265739</v>
      </c>
      <c r="S40" s="913">
        <v>1484</v>
      </c>
      <c r="T40" s="403">
        <v>0</v>
      </c>
      <c r="U40" s="49">
        <f t="shared" si="11"/>
        <v>0</v>
      </c>
    </row>
    <row r="41" spans="1:21" x14ac:dyDescent="0.2">
      <c r="A41" s="51" t="s">
        <v>35</v>
      </c>
      <c r="B41" s="909">
        <v>34215</v>
      </c>
      <c r="C41" s="314">
        <v>30916</v>
      </c>
      <c r="D41" s="315">
        <f t="shared" si="6"/>
        <v>90.358030103755667</v>
      </c>
      <c r="E41" s="315">
        <v>37429</v>
      </c>
      <c r="F41" s="48">
        <f t="shared" si="7"/>
        <v>109.39354084465877</v>
      </c>
      <c r="G41" s="47">
        <v>31200</v>
      </c>
      <c r="H41" s="540">
        <v>79.400000000000006</v>
      </c>
      <c r="I41" s="543">
        <v>37159</v>
      </c>
      <c r="J41" s="49">
        <f t="shared" si="8"/>
        <v>108.60441326903405</v>
      </c>
      <c r="K41" s="60">
        <v>33618</v>
      </c>
      <c r="L41" s="315">
        <v>37922</v>
      </c>
      <c r="M41" s="47">
        <v>85.5</v>
      </c>
      <c r="N41" s="48">
        <f t="shared" si="9"/>
        <v>110.83442934385504</v>
      </c>
      <c r="O41" s="47">
        <v>28840</v>
      </c>
      <c r="P41" s="540">
        <v>73</v>
      </c>
      <c r="Q41" s="543">
        <v>33152</v>
      </c>
      <c r="R41" s="49">
        <f t="shared" si="10"/>
        <v>96.893175507818214</v>
      </c>
      <c r="S41" s="913">
        <v>56583</v>
      </c>
      <c r="T41" s="403">
        <v>22740</v>
      </c>
      <c r="U41" s="49">
        <f t="shared" si="11"/>
        <v>40.188749270982449</v>
      </c>
    </row>
    <row r="42" spans="1:21" x14ac:dyDescent="0.2">
      <c r="A42" s="51" t="s">
        <v>36</v>
      </c>
      <c r="B42" s="909">
        <v>18082</v>
      </c>
      <c r="C42" s="314">
        <v>15579</v>
      </c>
      <c r="D42" s="315">
        <f t="shared" si="6"/>
        <v>86.157504700807436</v>
      </c>
      <c r="E42" s="315">
        <v>15681</v>
      </c>
      <c r="F42" s="48">
        <f t="shared" si="7"/>
        <v>86.721601592744165</v>
      </c>
      <c r="G42" s="47">
        <v>15476</v>
      </c>
      <c r="H42" s="540">
        <v>92.47</v>
      </c>
      <c r="I42" s="543">
        <v>14658</v>
      </c>
      <c r="J42" s="49">
        <f t="shared" si="8"/>
        <v>81.064041588319881</v>
      </c>
      <c r="K42" s="60">
        <v>15867</v>
      </c>
      <c r="L42" s="315">
        <v>15315</v>
      </c>
      <c r="M42" s="47">
        <v>94.8</v>
      </c>
      <c r="N42" s="48">
        <f t="shared" si="9"/>
        <v>84.697489215794704</v>
      </c>
      <c r="O42" s="47">
        <v>11925</v>
      </c>
      <c r="P42" s="540">
        <v>71.25</v>
      </c>
      <c r="Q42" s="543">
        <v>5546</v>
      </c>
      <c r="R42" s="49">
        <f t="shared" si="10"/>
        <v>30.671385908638428</v>
      </c>
      <c r="S42" s="913">
        <v>8216</v>
      </c>
      <c r="T42" s="403">
        <v>7626</v>
      </c>
      <c r="U42" s="49">
        <f t="shared" si="11"/>
        <v>92.818889970788703</v>
      </c>
    </row>
    <row r="43" spans="1:21" x14ac:dyDescent="0.2">
      <c r="A43" s="51" t="s">
        <v>37</v>
      </c>
      <c r="B43" s="909">
        <v>27910</v>
      </c>
      <c r="C43" s="314">
        <v>23776</v>
      </c>
      <c r="D43" s="315">
        <f t="shared" si="6"/>
        <v>85.188104621999287</v>
      </c>
      <c r="E43" s="315">
        <v>25762</v>
      </c>
      <c r="F43" s="48">
        <f t="shared" si="7"/>
        <v>92.303833751343603</v>
      </c>
      <c r="G43" s="47">
        <v>22988</v>
      </c>
      <c r="H43" s="540">
        <v>96</v>
      </c>
      <c r="I43" s="543">
        <v>24799</v>
      </c>
      <c r="J43" s="49">
        <f t="shared" si="8"/>
        <v>88.853457542099605</v>
      </c>
      <c r="K43" s="60">
        <v>23856</v>
      </c>
      <c r="L43" s="315">
        <v>25911</v>
      </c>
      <c r="M43" s="47">
        <v>99</v>
      </c>
      <c r="N43" s="48">
        <f t="shared" si="9"/>
        <v>92.837692583303479</v>
      </c>
      <c r="O43" s="47">
        <v>17122</v>
      </c>
      <c r="P43" s="540">
        <v>71</v>
      </c>
      <c r="Q43" s="543">
        <v>22419</v>
      </c>
      <c r="R43" s="49">
        <f t="shared" si="10"/>
        <v>80.326048011465417</v>
      </c>
      <c r="S43" s="913">
        <v>27366</v>
      </c>
      <c r="T43" s="403">
        <v>18735</v>
      </c>
      <c r="U43" s="49">
        <f t="shared" si="11"/>
        <v>68.460863845647879</v>
      </c>
    </row>
    <row r="44" spans="1:21" x14ac:dyDescent="0.2">
      <c r="A44" s="51" t="s">
        <v>38</v>
      </c>
      <c r="B44" s="909">
        <v>79460</v>
      </c>
      <c r="C44" s="314">
        <v>30616</v>
      </c>
      <c r="D44" s="315">
        <f t="shared" si="6"/>
        <v>38.530078026680094</v>
      </c>
      <c r="E44" s="315">
        <v>58885</v>
      </c>
      <c r="F44" s="48">
        <f t="shared" si="7"/>
        <v>74.106468663478481</v>
      </c>
      <c r="G44" s="47">
        <v>29532</v>
      </c>
      <c r="H44" s="540">
        <v>72.400000000000006</v>
      </c>
      <c r="I44" s="543">
        <v>57114</v>
      </c>
      <c r="J44" s="49">
        <f t="shared" si="8"/>
        <v>71.877674301535365</v>
      </c>
      <c r="K44" s="60">
        <v>31843</v>
      </c>
      <c r="L44" s="315">
        <v>54583</v>
      </c>
      <c r="M44" s="47">
        <v>78.099999999999994</v>
      </c>
      <c r="N44" s="48">
        <f t="shared" si="9"/>
        <v>68.692423861062167</v>
      </c>
      <c r="O44" s="47">
        <v>26400</v>
      </c>
      <c r="P44" s="540">
        <v>65</v>
      </c>
      <c r="Q44" s="543">
        <v>53367</v>
      </c>
      <c r="R44" s="49">
        <f t="shared" si="10"/>
        <v>67.162094135414037</v>
      </c>
      <c r="S44" s="913">
        <v>96753</v>
      </c>
      <c r="T44" s="403">
        <v>23203</v>
      </c>
      <c r="U44" s="49">
        <f t="shared" si="11"/>
        <v>23.981685322418944</v>
      </c>
    </row>
    <row r="45" spans="1:21" x14ac:dyDescent="0.2">
      <c r="A45" s="51" t="s">
        <v>39</v>
      </c>
      <c r="B45" s="909">
        <v>706</v>
      </c>
      <c r="C45" s="314">
        <v>116</v>
      </c>
      <c r="D45" s="315">
        <f t="shared" si="6"/>
        <v>16.430594900849862</v>
      </c>
      <c r="E45" s="315">
        <v>236</v>
      </c>
      <c r="F45" s="48">
        <f t="shared" si="7"/>
        <v>33.42776203966006</v>
      </c>
      <c r="G45" s="47">
        <v>116</v>
      </c>
      <c r="H45" s="540">
        <v>24.5</v>
      </c>
      <c r="I45" s="543">
        <v>224</v>
      </c>
      <c r="J45" s="49">
        <f t="shared" si="8"/>
        <v>31.728045325779036</v>
      </c>
      <c r="K45" s="60">
        <v>165</v>
      </c>
      <c r="L45" s="315">
        <v>527</v>
      </c>
      <c r="M45" s="47">
        <v>90</v>
      </c>
      <c r="N45" s="48">
        <f t="shared" si="9"/>
        <v>74.645892351274796</v>
      </c>
      <c r="O45" s="47">
        <v>97</v>
      </c>
      <c r="P45" s="540">
        <v>59</v>
      </c>
      <c r="Q45" s="543">
        <v>436</v>
      </c>
      <c r="R45" s="49">
        <f t="shared" si="10"/>
        <v>61.756373937677054</v>
      </c>
      <c r="S45" s="913">
        <v>754</v>
      </c>
      <c r="T45" s="403">
        <v>0</v>
      </c>
      <c r="U45" s="49">
        <f t="shared" si="11"/>
        <v>0</v>
      </c>
    </row>
    <row r="46" spans="1:21" ht="13.5" thickBot="1" x14ac:dyDescent="0.25">
      <c r="A46" s="345" t="s">
        <v>40</v>
      </c>
      <c r="B46" s="911">
        <v>1417</v>
      </c>
      <c r="C46" s="532">
        <v>838</v>
      </c>
      <c r="D46" s="533">
        <f t="shared" si="6"/>
        <v>59.139026111503178</v>
      </c>
      <c r="E46" s="533">
        <v>711</v>
      </c>
      <c r="F46" s="66">
        <f t="shared" si="7"/>
        <v>50.176429075511642</v>
      </c>
      <c r="G46" s="65">
        <v>845</v>
      </c>
      <c r="H46" s="541"/>
      <c r="I46" s="545">
        <v>670</v>
      </c>
      <c r="J46" s="343">
        <f t="shared" si="8"/>
        <v>47.282992237120681</v>
      </c>
      <c r="K46" s="64">
        <v>1249</v>
      </c>
      <c r="L46" s="533">
        <v>968</v>
      </c>
      <c r="M46" s="65">
        <f>+(K46/B46)*100</f>
        <v>88.143966125617496</v>
      </c>
      <c r="N46" s="66">
        <f t="shared" si="9"/>
        <v>68.313338038108682</v>
      </c>
      <c r="O46" s="65">
        <v>720</v>
      </c>
      <c r="P46" s="541"/>
      <c r="Q46" s="545">
        <v>738</v>
      </c>
      <c r="R46" s="343">
        <f t="shared" si="10"/>
        <v>52.081863091037405</v>
      </c>
      <c r="S46" s="914">
        <v>2056</v>
      </c>
      <c r="T46" s="537">
        <v>565</v>
      </c>
      <c r="U46" s="343">
        <f t="shared" si="11"/>
        <v>27.480544747081716</v>
      </c>
    </row>
    <row r="47" spans="1:21" ht="13.5" thickBot="1" x14ac:dyDescent="0.25">
      <c r="A47" s="346" t="s">
        <v>41</v>
      </c>
      <c r="B47" s="534">
        <f>SUM(B11:B46)</f>
        <v>833202</v>
      </c>
      <c r="C47" s="535">
        <f>SUM(C12:C46)</f>
        <v>603740</v>
      </c>
      <c r="D47" s="535">
        <f t="shared" si="6"/>
        <v>72.460219730629547</v>
      </c>
      <c r="E47" s="535">
        <f>SUM(E11:E46)</f>
        <v>766642</v>
      </c>
      <c r="F47" s="348">
        <f t="shared" si="7"/>
        <v>92.011541018864577</v>
      </c>
      <c r="G47" s="347">
        <f>SUM(G12:G46)</f>
        <v>602038</v>
      </c>
      <c r="H47" s="347">
        <v>79</v>
      </c>
      <c r="I47" s="535">
        <f>SUM(I11:I46)</f>
        <v>734795</v>
      </c>
      <c r="J47" s="348">
        <f t="shared" si="8"/>
        <v>88.189298633464631</v>
      </c>
      <c r="K47" s="347">
        <f>SUM(K12:K46)</f>
        <v>661287</v>
      </c>
      <c r="L47" s="535">
        <f>SUM(L11:L46)</f>
        <v>799924</v>
      </c>
      <c r="M47" s="347">
        <f>(K47/B47)*100</f>
        <v>79.366948231041206</v>
      </c>
      <c r="N47" s="348">
        <f t="shared" si="9"/>
        <v>96.00601054726225</v>
      </c>
      <c r="O47" s="347">
        <f>SUM(O12:O46)</f>
        <v>521534</v>
      </c>
      <c r="P47" s="347">
        <f>(O47/B47)*100</f>
        <v>62.593944805701376</v>
      </c>
      <c r="Q47" s="535">
        <f>SUM(Q11:Q46)</f>
        <v>696157</v>
      </c>
      <c r="R47" s="348">
        <f t="shared" si="10"/>
        <v>83.552007796428711</v>
      </c>
      <c r="S47" s="535">
        <f>SUM(S11:S46)</f>
        <v>818704</v>
      </c>
      <c r="T47" s="535">
        <f>SUM(T11:T46)</f>
        <v>447039</v>
      </c>
      <c r="U47" s="349">
        <f t="shared" si="11"/>
        <v>54.60325099181145</v>
      </c>
    </row>
    <row r="48" spans="1:21" ht="13.5" thickBot="1" x14ac:dyDescent="0.25">
      <c r="A48" s="52" t="s">
        <v>50</v>
      </c>
      <c r="B48" s="38"/>
      <c r="C48" s="38"/>
      <c r="D48" s="38"/>
      <c r="E48" s="38"/>
      <c r="F48" s="39"/>
      <c r="G48" s="38"/>
      <c r="H48" s="38"/>
      <c r="I48" s="38"/>
      <c r="J48" s="39"/>
      <c r="K48" s="38"/>
      <c r="L48" s="38"/>
      <c r="M48" s="38"/>
      <c r="N48" s="39"/>
      <c r="O48" s="38"/>
      <c r="P48" s="38"/>
      <c r="Q48" s="38"/>
      <c r="R48" s="38"/>
      <c r="S48" s="38"/>
      <c r="T48" s="38"/>
      <c r="U48" s="40"/>
    </row>
  </sheetData>
  <phoneticPr fontId="11" type="noConversion"/>
  <printOptions horizontalCentered="1" verticalCentered="1"/>
  <pageMargins left="0.35433070866141736" right="0.27559055118110237" top="0.39370078740157483" bottom="0.27559055118110237" header="0" footer="0"/>
  <pageSetup orientation="landscape" r:id="rId1"/>
  <headerFooter alignWithMargins="0">
    <oddHeader>&amp;L        &amp;G&amp;C&amp;"Arial,Negrita"MINISTERIO DE LA PROTECCION SOCIAL
República de Colombia
Dirección General de Salud Pública
Programa Ampliado de Inmunizaciones - PAI</oddHeader>
    <oddFooter>&amp;C&amp;F</oddFoot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7"/>
  </sheetPr>
  <dimension ref="A5:P48"/>
  <sheetViews>
    <sheetView zoomScale="90" zoomScaleNormal="90" workbookViewId="0">
      <pane xSplit="2" ySplit="10" topLeftCell="C11" activePane="bottomRight" state="frozen"/>
      <selection activeCell="A4" sqref="A4"/>
      <selection pane="topRight" activeCell="A4" sqref="A4"/>
      <selection pane="bottomLeft" activeCell="A4" sqref="A4"/>
      <selection pane="bottomRight" activeCell="C11" sqref="C11"/>
    </sheetView>
  </sheetViews>
  <sheetFormatPr baseColWidth="10" defaultRowHeight="12.75" x14ac:dyDescent="0.2"/>
  <cols>
    <col min="1" max="1" width="23.5703125" style="17" customWidth="1"/>
    <col min="2" max="2" width="12.42578125" style="17" bestFit="1" customWidth="1"/>
    <col min="3" max="3" width="11.28515625" style="17" bestFit="1" customWidth="1"/>
    <col min="4" max="4" width="6.140625" style="17" customWidth="1"/>
    <col min="5" max="5" width="11.28515625" style="17" bestFit="1" customWidth="1"/>
    <col min="6" max="6" width="6.42578125" style="17" customWidth="1"/>
    <col min="7" max="7" width="11.28515625" style="17" bestFit="1" customWidth="1"/>
    <col min="8" max="8" width="7.140625" style="17" customWidth="1"/>
    <col min="9" max="9" width="11.28515625" style="17" bestFit="1" customWidth="1"/>
    <col min="10" max="10" width="7.85546875" style="17" customWidth="1"/>
    <col min="11" max="11" width="11.28515625" style="17" bestFit="1" customWidth="1"/>
    <col min="12" max="12" width="6.85546875" style="17" customWidth="1"/>
    <col min="13" max="13" width="11.85546875" style="17" bestFit="1" customWidth="1"/>
    <col min="14" max="14" width="11.28515625" style="17" bestFit="1" customWidth="1"/>
    <col min="15" max="15" width="6.140625" style="17" customWidth="1"/>
    <col min="16" max="16" width="8" style="17" bestFit="1" customWidth="1"/>
    <col min="17" max="16384" width="11.42578125" style="17"/>
  </cols>
  <sheetData>
    <row r="5" spans="1:16" x14ac:dyDescent="0.2">
      <c r="A5" s="702" t="s">
        <v>305</v>
      </c>
      <c r="B5" s="753" t="s">
        <v>320</v>
      </c>
    </row>
    <row r="6" spans="1:16" x14ac:dyDescent="0.2">
      <c r="A6" s="702" t="s">
        <v>306</v>
      </c>
      <c r="B6" s="776">
        <v>37998</v>
      </c>
    </row>
    <row r="7" spans="1:16" x14ac:dyDescent="0.2">
      <c r="A7" s="702" t="s">
        <v>307</v>
      </c>
      <c r="B7" s="766" t="s">
        <v>312</v>
      </c>
    </row>
    <row r="8" spans="1:16" ht="20.25" customHeight="1" thickBot="1" x14ac:dyDescent="0.25">
      <c r="A8" s="1863" t="s">
        <v>102</v>
      </c>
      <c r="B8" s="1863"/>
      <c r="C8" s="1863"/>
      <c r="D8" s="1863"/>
      <c r="E8" s="1863"/>
      <c r="F8" s="1863"/>
      <c r="G8" s="1863"/>
      <c r="H8" s="1863"/>
      <c r="I8" s="1863"/>
      <c r="J8" s="1863"/>
      <c r="K8" s="1863"/>
      <c r="L8" s="1863"/>
      <c r="M8" s="1863"/>
      <c r="N8" s="1863"/>
      <c r="O8" s="1863"/>
      <c r="P8" s="1863"/>
    </row>
    <row r="9" spans="1:16" ht="19.5" customHeight="1" thickBot="1" x14ac:dyDescent="0.25">
      <c r="A9" s="31" t="s">
        <v>79</v>
      </c>
      <c r="B9" s="9" t="s">
        <v>53</v>
      </c>
      <c r="C9" s="1864" t="s">
        <v>3</v>
      </c>
      <c r="D9" s="1865"/>
      <c r="E9" s="1864" t="s">
        <v>6</v>
      </c>
      <c r="F9" s="1865"/>
      <c r="G9" s="1864" t="s">
        <v>7</v>
      </c>
      <c r="H9" s="1866"/>
      <c r="I9" s="1867" t="s">
        <v>54</v>
      </c>
      <c r="J9" s="1865"/>
      <c r="K9" s="1864" t="s">
        <v>89</v>
      </c>
      <c r="L9" s="1865"/>
      <c r="M9" s="27" t="s">
        <v>81</v>
      </c>
      <c r="N9" s="1864" t="s">
        <v>90</v>
      </c>
      <c r="O9" s="1865"/>
      <c r="P9" s="30" t="s">
        <v>82</v>
      </c>
    </row>
    <row r="10" spans="1:16" ht="19.5" customHeight="1" thickBot="1" x14ac:dyDescent="0.25">
      <c r="A10" s="432"/>
      <c r="B10" s="33" t="s">
        <v>74</v>
      </c>
      <c r="C10" s="33" t="s">
        <v>83</v>
      </c>
      <c r="D10" s="33" t="s">
        <v>5</v>
      </c>
      <c r="E10" s="33" t="s">
        <v>83</v>
      </c>
      <c r="F10" s="33" t="s">
        <v>5</v>
      </c>
      <c r="G10" s="33" t="s">
        <v>91</v>
      </c>
      <c r="H10" s="33" t="s">
        <v>5</v>
      </c>
      <c r="I10" s="33" t="s">
        <v>83</v>
      </c>
      <c r="J10" s="33" t="s">
        <v>5</v>
      </c>
      <c r="K10" s="34" t="s">
        <v>83</v>
      </c>
      <c r="L10" s="33" t="s">
        <v>5</v>
      </c>
      <c r="M10" s="35" t="s">
        <v>92</v>
      </c>
      <c r="N10" s="34" t="s">
        <v>91</v>
      </c>
      <c r="O10" s="33" t="s">
        <v>5</v>
      </c>
      <c r="P10" s="33" t="s">
        <v>85</v>
      </c>
    </row>
    <row r="11" spans="1:16" ht="14.1" customHeight="1" x14ac:dyDescent="0.2">
      <c r="A11" s="470" t="s">
        <v>12</v>
      </c>
      <c r="B11" s="475">
        <v>2278</v>
      </c>
      <c r="C11" s="393">
        <v>1506</v>
      </c>
      <c r="D11" s="11">
        <f>(C11/B11)*100</f>
        <v>66.110623353819136</v>
      </c>
      <c r="E11" s="393">
        <v>1506</v>
      </c>
      <c r="F11" s="11">
        <f>(E11/B11)*100</f>
        <v>66.110623353819136</v>
      </c>
      <c r="G11" s="393">
        <v>1527</v>
      </c>
      <c r="H11" s="11">
        <f>(G11/B11)*100</f>
        <v>67.032484635645304</v>
      </c>
      <c r="I11" s="393">
        <v>1501</v>
      </c>
      <c r="J11" s="11">
        <f>(I11/B11)*100</f>
        <v>65.891132572431957</v>
      </c>
      <c r="K11" s="393">
        <v>1486</v>
      </c>
      <c r="L11" s="11">
        <f>(K11/B11)*100</f>
        <v>65.232660228270419</v>
      </c>
      <c r="M11" s="446">
        <v>2292.0681075759608</v>
      </c>
      <c r="N11" s="393">
        <v>1402</v>
      </c>
      <c r="O11" s="11">
        <f>(N11/M11)*100</f>
        <v>61.167466855194085</v>
      </c>
      <c r="P11" s="411" t="s">
        <v>103</v>
      </c>
    </row>
    <row r="12" spans="1:16" ht="14.1" customHeight="1" x14ac:dyDescent="0.2">
      <c r="A12" s="471" t="s">
        <v>11</v>
      </c>
      <c r="B12" s="476">
        <v>114543</v>
      </c>
      <c r="C12" s="394">
        <v>90134</v>
      </c>
      <c r="D12" s="14">
        <f>(C12/B12)*100</f>
        <v>78.690098914818023</v>
      </c>
      <c r="E12" s="394">
        <v>90866</v>
      </c>
      <c r="F12" s="14">
        <f>(E12/B12)*100</f>
        <v>79.329160228036628</v>
      </c>
      <c r="G12" s="394">
        <v>100360</v>
      </c>
      <c r="H12" s="14">
        <f>(G12/B12)*100</f>
        <v>87.61775053909885</v>
      </c>
      <c r="I12" s="394">
        <v>91467</v>
      </c>
      <c r="J12" s="14">
        <f>(I12/B12)*100</f>
        <v>79.853854011157381</v>
      </c>
      <c r="K12" s="394">
        <v>92664</v>
      </c>
      <c r="L12" s="14">
        <f>(K12/B12)*100</f>
        <v>80.898876404494374</v>
      </c>
      <c r="M12" s="440">
        <v>105666.51514744709</v>
      </c>
      <c r="N12" s="394">
        <v>106340</v>
      </c>
      <c r="O12" s="14">
        <f t="shared" ref="O12:O28" si="0">(N12/M12)*100</f>
        <v>100.63736828229182</v>
      </c>
      <c r="P12" s="413" t="s">
        <v>103</v>
      </c>
    </row>
    <row r="13" spans="1:16" ht="14.1" customHeight="1" x14ac:dyDescent="0.2">
      <c r="A13" s="471" t="s">
        <v>13</v>
      </c>
      <c r="B13" s="476">
        <v>6810</v>
      </c>
      <c r="C13" s="445">
        <v>5149</v>
      </c>
      <c r="D13" s="14">
        <f t="shared" ref="D13:D28" si="1">(C13/B13)*100</f>
        <v>75.609397944199713</v>
      </c>
      <c r="E13" s="394">
        <v>5134</v>
      </c>
      <c r="F13" s="14">
        <f t="shared" ref="F13:F28" si="2">(E13/B13)*100</f>
        <v>75.389133627019092</v>
      </c>
      <c r="G13" s="394">
        <v>5378</v>
      </c>
      <c r="H13" s="14">
        <f t="shared" ref="H13:H28" si="3">(G13/B13)*100</f>
        <v>78.972099853157118</v>
      </c>
      <c r="I13" s="394">
        <v>5130</v>
      </c>
      <c r="J13" s="14">
        <f t="shared" ref="J13:J28" si="4">(I13/B13)*100</f>
        <v>75.330396475770925</v>
      </c>
      <c r="K13" s="394">
        <v>5049</v>
      </c>
      <c r="L13" s="14">
        <f t="shared" ref="L13:L28" si="5">(K13/B13)*100</f>
        <v>74.140969162995589</v>
      </c>
      <c r="M13" s="440">
        <v>6244.3529332796352</v>
      </c>
      <c r="N13" s="394">
        <v>4301</v>
      </c>
      <c r="O13" s="14">
        <f t="shared" si="0"/>
        <v>68.878233596912423</v>
      </c>
      <c r="P13" s="413" t="s">
        <v>103</v>
      </c>
    </row>
    <row r="14" spans="1:16" ht="14.1" customHeight="1" x14ac:dyDescent="0.2">
      <c r="A14" s="471" t="s">
        <v>14</v>
      </c>
      <c r="B14" s="476">
        <v>17107</v>
      </c>
      <c r="C14" s="394">
        <v>16803</v>
      </c>
      <c r="D14" s="14">
        <f t="shared" si="1"/>
        <v>98.22294966972585</v>
      </c>
      <c r="E14" s="394">
        <v>16989</v>
      </c>
      <c r="F14" s="14">
        <f t="shared" si="2"/>
        <v>99.31022388495937</v>
      </c>
      <c r="G14" s="394">
        <v>16824</v>
      </c>
      <c r="H14" s="14">
        <f t="shared" si="3"/>
        <v>98.345706435961887</v>
      </c>
      <c r="I14" s="394">
        <v>17024</v>
      </c>
      <c r="J14" s="14">
        <f t="shared" si="4"/>
        <v>99.51481849535277</v>
      </c>
      <c r="K14" s="394">
        <v>17020</v>
      </c>
      <c r="L14" s="14">
        <f t="shared" si="5"/>
        <v>99.491436254164967</v>
      </c>
      <c r="M14" s="440">
        <v>19101.885980221057</v>
      </c>
      <c r="N14" s="394">
        <v>17149</v>
      </c>
      <c r="O14" s="14">
        <f t="shared" si="0"/>
        <v>89.776475567683931</v>
      </c>
      <c r="P14" s="413" t="s">
        <v>103</v>
      </c>
    </row>
    <row r="15" spans="1:16" ht="14.1" customHeight="1" x14ac:dyDescent="0.2">
      <c r="A15" s="472" t="s">
        <v>115</v>
      </c>
      <c r="B15" s="476">
        <v>21424</v>
      </c>
      <c r="C15" s="394">
        <v>26146</v>
      </c>
      <c r="D15" s="14">
        <f t="shared" si="1"/>
        <v>122.04070201643017</v>
      </c>
      <c r="E15" s="394">
        <v>26027</v>
      </c>
      <c r="F15" s="14">
        <f t="shared" si="2"/>
        <v>121.48525018670651</v>
      </c>
      <c r="G15" s="394">
        <v>37603</v>
      </c>
      <c r="H15" s="14">
        <f t="shared" si="3"/>
        <v>175.51811053024647</v>
      </c>
      <c r="I15" s="394">
        <v>24143</v>
      </c>
      <c r="J15" s="14">
        <f t="shared" si="4"/>
        <v>112.69137415982075</v>
      </c>
      <c r="K15" s="394">
        <v>26791</v>
      </c>
      <c r="L15" s="14">
        <f t="shared" si="5"/>
        <v>125.05134428678117</v>
      </c>
      <c r="M15" s="440">
        <v>23922.34845840605</v>
      </c>
      <c r="N15" s="394">
        <v>29112</v>
      </c>
      <c r="O15" s="14">
        <f t="shared" si="0"/>
        <v>121.69373776415486</v>
      </c>
      <c r="P15" s="413" t="s">
        <v>103</v>
      </c>
    </row>
    <row r="16" spans="1:16" ht="14.1" customHeight="1" x14ac:dyDescent="0.2">
      <c r="A16" s="471" t="s">
        <v>15</v>
      </c>
      <c r="B16" s="476">
        <v>121501</v>
      </c>
      <c r="C16" s="445">
        <v>107847</v>
      </c>
      <c r="D16" s="14">
        <f t="shared" si="1"/>
        <v>88.762232409609794</v>
      </c>
      <c r="E16" s="394">
        <v>106434</v>
      </c>
      <c r="F16" s="14">
        <f t="shared" si="2"/>
        <v>87.599279018279688</v>
      </c>
      <c r="G16" s="394">
        <v>119909</v>
      </c>
      <c r="H16" s="14">
        <f t="shared" si="3"/>
        <v>98.689722718331538</v>
      </c>
      <c r="I16" s="394">
        <v>107075</v>
      </c>
      <c r="J16" s="14">
        <f t="shared" si="4"/>
        <v>88.126846692619807</v>
      </c>
      <c r="K16" s="394">
        <v>109181</v>
      </c>
      <c r="L16" s="14">
        <f t="shared" si="5"/>
        <v>89.860165759952594</v>
      </c>
      <c r="M16" s="440">
        <v>125681.07535687117</v>
      </c>
      <c r="N16" s="394">
        <v>107965</v>
      </c>
      <c r="O16" s="14">
        <f t="shared" si="0"/>
        <v>85.903943528039989</v>
      </c>
      <c r="P16" s="413" t="s">
        <v>103</v>
      </c>
    </row>
    <row r="17" spans="1:16" ht="14.1" customHeight="1" x14ac:dyDescent="0.2">
      <c r="A17" s="471" t="s">
        <v>62</v>
      </c>
      <c r="B17" s="476">
        <v>28466</v>
      </c>
      <c r="C17" s="394">
        <v>24057</v>
      </c>
      <c r="D17" s="14">
        <f t="shared" si="1"/>
        <v>84.511346869950117</v>
      </c>
      <c r="E17" s="394">
        <v>23808</v>
      </c>
      <c r="F17" s="14">
        <f t="shared" si="2"/>
        <v>83.636619124569663</v>
      </c>
      <c r="G17" s="394">
        <v>23992</v>
      </c>
      <c r="H17" s="14">
        <f>(G17/B17)*100</f>
        <v>84.283004285814656</v>
      </c>
      <c r="I17" s="394">
        <v>23795</v>
      </c>
      <c r="J17" s="14">
        <f t="shared" si="4"/>
        <v>83.59095060774257</v>
      </c>
      <c r="K17" s="394">
        <v>24432</v>
      </c>
      <c r="L17" s="14">
        <f t="shared" si="5"/>
        <v>85.828707932270078</v>
      </c>
      <c r="M17" s="440">
        <v>27659.072090213453</v>
      </c>
      <c r="N17" s="394">
        <v>22859</v>
      </c>
      <c r="O17" s="14">
        <f t="shared" si="0"/>
        <v>82.645578005807891</v>
      </c>
      <c r="P17" s="413" t="s">
        <v>103</v>
      </c>
    </row>
    <row r="18" spans="1:16" ht="14.1" customHeight="1" x14ac:dyDescent="0.2">
      <c r="A18" s="471" t="s">
        <v>45</v>
      </c>
      <c r="B18" s="476">
        <v>19406</v>
      </c>
      <c r="C18" s="394">
        <v>22411</v>
      </c>
      <c r="D18" s="14">
        <f t="shared" si="1"/>
        <v>115.48490157683192</v>
      </c>
      <c r="E18" s="394">
        <v>20296</v>
      </c>
      <c r="F18" s="14">
        <f t="shared" si="2"/>
        <v>104.58621045037617</v>
      </c>
      <c r="G18" s="394">
        <v>22324</v>
      </c>
      <c r="H18" s="14">
        <f t="shared" si="3"/>
        <v>115.036586622694</v>
      </c>
      <c r="I18" s="394">
        <v>18418</v>
      </c>
      <c r="J18" s="14">
        <f t="shared" si="4"/>
        <v>94.908791095537453</v>
      </c>
      <c r="K18" s="394">
        <v>20211</v>
      </c>
      <c r="L18" s="14">
        <f t="shared" si="5"/>
        <v>104.148201587138</v>
      </c>
      <c r="M18" s="440">
        <v>18856.660401843648</v>
      </c>
      <c r="N18" s="394">
        <v>22198</v>
      </c>
      <c r="O18" s="14">
        <f t="shared" si="0"/>
        <v>117.7196784952953</v>
      </c>
      <c r="P18" s="413" t="s">
        <v>103</v>
      </c>
    </row>
    <row r="19" spans="1:16" ht="14.1" customHeight="1" x14ac:dyDescent="0.2">
      <c r="A19" s="471" t="s">
        <v>17</v>
      </c>
      <c r="B19" s="476">
        <v>24995</v>
      </c>
      <c r="C19" s="394">
        <v>22515</v>
      </c>
      <c r="D19" s="14">
        <f t="shared" si="1"/>
        <v>90.078015603120619</v>
      </c>
      <c r="E19" s="394">
        <v>22612</v>
      </c>
      <c r="F19" s="14">
        <f t="shared" si="2"/>
        <v>90.466093218643735</v>
      </c>
      <c r="G19" s="394">
        <v>24831</v>
      </c>
      <c r="H19" s="14">
        <f t="shared" si="3"/>
        <v>99.34386877375475</v>
      </c>
      <c r="I19" s="394">
        <v>22710</v>
      </c>
      <c r="J19" s="14">
        <f t="shared" si="4"/>
        <v>90.858171634326865</v>
      </c>
      <c r="K19" s="394">
        <v>23257</v>
      </c>
      <c r="L19" s="14">
        <f t="shared" si="5"/>
        <v>93.046609321864366</v>
      </c>
      <c r="M19" s="440">
        <v>26703.878909920793</v>
      </c>
      <c r="N19" s="394">
        <v>22193</v>
      </c>
      <c r="O19" s="14">
        <f t="shared" si="0"/>
        <v>83.1077764951782</v>
      </c>
      <c r="P19" s="413" t="s">
        <v>103</v>
      </c>
    </row>
    <row r="20" spans="1:16" ht="14.1" customHeight="1" x14ac:dyDescent="0.2">
      <c r="A20" s="471" t="s">
        <v>19</v>
      </c>
      <c r="B20" s="476">
        <v>16990</v>
      </c>
      <c r="C20" s="394">
        <v>16317</v>
      </c>
      <c r="D20" s="14">
        <f t="shared" si="1"/>
        <v>96.03884638022366</v>
      </c>
      <c r="E20" s="394">
        <v>16146</v>
      </c>
      <c r="F20" s="14">
        <f t="shared" si="2"/>
        <v>95.03237198351971</v>
      </c>
      <c r="G20" s="394">
        <v>15616</v>
      </c>
      <c r="H20" s="14">
        <f t="shared" si="3"/>
        <v>91.912889935256032</v>
      </c>
      <c r="I20" s="394">
        <v>16181</v>
      </c>
      <c r="J20" s="14">
        <f t="shared" si="4"/>
        <v>95.238375515008826</v>
      </c>
      <c r="K20" s="394">
        <v>16158</v>
      </c>
      <c r="L20" s="14">
        <f t="shared" si="5"/>
        <v>95.103001765744551</v>
      </c>
      <c r="M20" s="440">
        <v>21020.182843334675</v>
      </c>
      <c r="N20" s="394">
        <v>16354</v>
      </c>
      <c r="O20" s="14">
        <f t="shared" si="0"/>
        <v>77.801416485707293</v>
      </c>
      <c r="P20" s="413" t="s">
        <v>103</v>
      </c>
    </row>
    <row r="21" spans="1:16" ht="14.1" customHeight="1" x14ac:dyDescent="0.2">
      <c r="A21" s="471" t="s">
        <v>63</v>
      </c>
      <c r="B21" s="476">
        <v>10947</v>
      </c>
      <c r="C21" s="394">
        <v>10820</v>
      </c>
      <c r="D21" s="14">
        <f>(C21/B21)*100</f>
        <v>98.839864803142419</v>
      </c>
      <c r="E21" s="394">
        <v>11063</v>
      </c>
      <c r="F21" s="14">
        <f>(E21/B21)*100</f>
        <v>101.05965104594866</v>
      </c>
      <c r="G21" s="394">
        <v>10624</v>
      </c>
      <c r="H21" s="14">
        <f t="shared" si="3"/>
        <v>97.049419932401577</v>
      </c>
      <c r="I21" s="394">
        <v>10685</v>
      </c>
      <c r="J21" s="14">
        <f t="shared" si="4"/>
        <v>97.606650223805616</v>
      </c>
      <c r="K21" s="394">
        <v>12903</v>
      </c>
      <c r="L21" s="14">
        <f t="shared" si="5"/>
        <v>117.86790901616881</v>
      </c>
      <c r="M21" s="440">
        <v>11202.260392893901</v>
      </c>
      <c r="N21" s="394">
        <v>10122</v>
      </c>
      <c r="O21" s="14">
        <f t="shared" si="0"/>
        <v>90.356764126111926</v>
      </c>
      <c r="P21" s="413" t="s">
        <v>103</v>
      </c>
    </row>
    <row r="22" spans="1:16" ht="14.1" customHeight="1" x14ac:dyDescent="0.2">
      <c r="A22" s="471" t="s">
        <v>21</v>
      </c>
      <c r="B22" s="476">
        <v>7189</v>
      </c>
      <c r="C22" s="394">
        <v>7068</v>
      </c>
      <c r="D22" s="14">
        <f t="shared" si="1"/>
        <v>98.316873000417303</v>
      </c>
      <c r="E22" s="394">
        <v>7082</v>
      </c>
      <c r="F22" s="14">
        <f t="shared" si="2"/>
        <v>98.511614967311161</v>
      </c>
      <c r="G22" s="394">
        <v>7356</v>
      </c>
      <c r="H22" s="14">
        <f t="shared" si="3"/>
        <v>102.32299346223397</v>
      </c>
      <c r="I22" s="394">
        <v>7081</v>
      </c>
      <c r="J22" s="14">
        <f t="shared" si="4"/>
        <v>98.497704826818762</v>
      </c>
      <c r="K22" s="394">
        <v>7078</v>
      </c>
      <c r="L22" s="14">
        <f t="shared" si="5"/>
        <v>98.455974405341493</v>
      </c>
      <c r="M22" s="440">
        <v>7368.6331051147808</v>
      </c>
      <c r="N22" s="394">
        <v>6863</v>
      </c>
      <c r="O22" s="14">
        <f t="shared" si="0"/>
        <v>93.138033908028262</v>
      </c>
      <c r="P22" s="413" t="s">
        <v>103</v>
      </c>
    </row>
    <row r="23" spans="1:16" ht="14.1" customHeight="1" x14ac:dyDescent="0.2">
      <c r="A23" s="471" t="s">
        <v>18</v>
      </c>
      <c r="B23" s="476">
        <v>29793</v>
      </c>
      <c r="C23" s="394">
        <v>20313</v>
      </c>
      <c r="D23" s="14">
        <f t="shared" si="1"/>
        <v>68.180445070989819</v>
      </c>
      <c r="E23" s="394">
        <v>21969</v>
      </c>
      <c r="F23" s="14">
        <f t="shared" si="2"/>
        <v>73.738797704158699</v>
      </c>
      <c r="G23" s="394">
        <v>22891</v>
      </c>
      <c r="H23" s="14">
        <f t="shared" si="3"/>
        <v>76.833484375524449</v>
      </c>
      <c r="I23" s="394">
        <v>21918</v>
      </c>
      <c r="J23" s="14">
        <f t="shared" si="4"/>
        <v>73.567616554224145</v>
      </c>
      <c r="K23" s="394">
        <v>22143</v>
      </c>
      <c r="L23" s="14">
        <f t="shared" si="5"/>
        <v>74.322827509817742</v>
      </c>
      <c r="M23" s="440">
        <v>28276.091287421132</v>
      </c>
      <c r="N23" s="394">
        <v>20960</v>
      </c>
      <c r="O23" s="14">
        <f t="shared" si="0"/>
        <v>74.126228363551235</v>
      </c>
      <c r="P23" s="413" t="s">
        <v>103</v>
      </c>
    </row>
    <row r="24" spans="1:16" ht="14.1" customHeight="1" x14ac:dyDescent="0.2">
      <c r="A24" s="471" t="s">
        <v>22</v>
      </c>
      <c r="B24" s="476">
        <v>24195</v>
      </c>
      <c r="C24" s="394">
        <v>23734</v>
      </c>
      <c r="D24" s="14">
        <f>(C24/B24)*100</f>
        <v>98.094647654474059</v>
      </c>
      <c r="E24" s="394">
        <v>23723</v>
      </c>
      <c r="F24" s="14">
        <f>(E24/B24)*100</f>
        <v>98.049183715643721</v>
      </c>
      <c r="G24" s="394">
        <v>24258</v>
      </c>
      <c r="H24" s="14">
        <f t="shared" si="3"/>
        <v>100.26038437693738</v>
      </c>
      <c r="I24" s="394">
        <v>23650</v>
      </c>
      <c r="J24" s="14">
        <f t="shared" si="4"/>
        <v>97.747468485224218</v>
      </c>
      <c r="K24" s="394">
        <v>23688</v>
      </c>
      <c r="L24" s="14">
        <f t="shared" si="5"/>
        <v>97.904525728456292</v>
      </c>
      <c r="M24" s="440">
        <v>23885.762384212645</v>
      </c>
      <c r="N24" s="394">
        <v>22846</v>
      </c>
      <c r="O24" s="14">
        <f t="shared" si="0"/>
        <v>95.646936583025379</v>
      </c>
      <c r="P24" s="413" t="s">
        <v>103</v>
      </c>
    </row>
    <row r="25" spans="1:16" ht="14.1" customHeight="1" x14ac:dyDescent="0.2">
      <c r="A25" s="471" t="s">
        <v>24</v>
      </c>
      <c r="B25" s="476">
        <v>12041</v>
      </c>
      <c r="C25" s="394">
        <v>10038</v>
      </c>
      <c r="D25" s="14">
        <f t="shared" si="1"/>
        <v>83.365169005896519</v>
      </c>
      <c r="E25" s="394">
        <v>10242</v>
      </c>
      <c r="F25" s="14">
        <f t="shared" si="2"/>
        <v>85.059380450128728</v>
      </c>
      <c r="G25" s="394">
        <v>10319</v>
      </c>
      <c r="H25" s="14">
        <f t="shared" si="3"/>
        <v>85.698862220745781</v>
      </c>
      <c r="I25" s="394">
        <v>10181</v>
      </c>
      <c r="J25" s="14">
        <f t="shared" si="4"/>
        <v>84.552778008471051</v>
      </c>
      <c r="K25" s="394">
        <v>10154</v>
      </c>
      <c r="L25" s="14">
        <f t="shared" si="5"/>
        <v>84.328544140852088</v>
      </c>
      <c r="M25" s="440">
        <v>9803.0902582002054</v>
      </c>
      <c r="N25" s="394">
        <v>9246</v>
      </c>
      <c r="O25" s="14">
        <f t="shared" si="0"/>
        <v>94.317197500714585</v>
      </c>
      <c r="P25" s="413" t="s">
        <v>103</v>
      </c>
    </row>
    <row r="26" spans="1:16" ht="14.1" customHeight="1" x14ac:dyDescent="0.2">
      <c r="A26" s="471" t="s">
        <v>64</v>
      </c>
      <c r="B26" s="476">
        <v>31030</v>
      </c>
      <c r="C26" s="394">
        <v>32245</v>
      </c>
      <c r="D26" s="14">
        <f t="shared" si="1"/>
        <v>103.91556558169512</v>
      </c>
      <c r="E26" s="394">
        <v>32200</v>
      </c>
      <c r="F26" s="14">
        <f t="shared" si="2"/>
        <v>103.77054463422495</v>
      </c>
      <c r="G26" s="394">
        <v>36524</v>
      </c>
      <c r="H26" s="14">
        <f t="shared" si="3"/>
        <v>117.70544634224945</v>
      </c>
      <c r="I26" s="394">
        <v>32018</v>
      </c>
      <c r="J26" s="14">
        <f t="shared" si="4"/>
        <v>103.18401546890105</v>
      </c>
      <c r="K26" s="394">
        <v>32815</v>
      </c>
      <c r="L26" s="14">
        <f t="shared" si="5"/>
        <v>105.75249758298422</v>
      </c>
      <c r="M26" s="440">
        <v>26899.663847496307</v>
      </c>
      <c r="N26" s="394">
        <v>31972</v>
      </c>
      <c r="O26" s="14">
        <f t="shared" si="0"/>
        <v>118.85650386287561</v>
      </c>
      <c r="P26" s="413" t="s">
        <v>103</v>
      </c>
    </row>
    <row r="27" spans="1:16" ht="14.1" customHeight="1" x14ac:dyDescent="0.2">
      <c r="A27" s="473" t="s">
        <v>122</v>
      </c>
      <c r="B27" s="476">
        <v>44393</v>
      </c>
      <c r="C27" s="394">
        <v>39589</v>
      </c>
      <c r="D27" s="14">
        <f t="shared" si="1"/>
        <v>89.178474083751951</v>
      </c>
      <c r="E27" s="394">
        <v>39589</v>
      </c>
      <c r="F27" s="14">
        <f t="shared" si="2"/>
        <v>89.178474083751951</v>
      </c>
      <c r="G27" s="394">
        <v>39114</v>
      </c>
      <c r="H27" s="14">
        <f t="shared" si="3"/>
        <v>88.108485572049645</v>
      </c>
      <c r="I27" s="394">
        <v>39589</v>
      </c>
      <c r="J27" s="14">
        <f t="shared" si="4"/>
        <v>89.178474083751951</v>
      </c>
      <c r="K27" s="394">
        <v>39589</v>
      </c>
      <c r="L27" s="14">
        <f t="shared" si="5"/>
        <v>89.178474083751951</v>
      </c>
      <c r="M27" s="440">
        <v>44668.630151698213</v>
      </c>
      <c r="N27" s="394">
        <v>41143</v>
      </c>
      <c r="O27" s="14">
        <f t="shared" si="0"/>
        <v>92.107145126848764</v>
      </c>
      <c r="P27" s="413" t="s">
        <v>103</v>
      </c>
    </row>
    <row r="28" spans="1:16" ht="14.1" customHeight="1" x14ac:dyDescent="0.2">
      <c r="A28" s="471" t="s">
        <v>65</v>
      </c>
      <c r="B28" s="476">
        <v>1230</v>
      </c>
      <c r="C28" s="394">
        <v>447</v>
      </c>
      <c r="D28" s="14">
        <f t="shared" si="1"/>
        <v>36.341463414634148</v>
      </c>
      <c r="E28" s="394">
        <v>457</v>
      </c>
      <c r="F28" s="14">
        <f t="shared" si="2"/>
        <v>37.154471544715442</v>
      </c>
      <c r="G28" s="394">
        <v>679</v>
      </c>
      <c r="H28" s="14">
        <f t="shared" si="3"/>
        <v>55.203252032520325</v>
      </c>
      <c r="I28" s="394">
        <v>463</v>
      </c>
      <c r="J28" s="14">
        <f t="shared" si="4"/>
        <v>37.642276422764226</v>
      </c>
      <c r="K28" s="394">
        <v>358</v>
      </c>
      <c r="L28" s="14">
        <f t="shared" si="5"/>
        <v>29.105691056910572</v>
      </c>
      <c r="M28" s="440">
        <v>1064.9514028728688</v>
      </c>
      <c r="N28" s="394">
        <v>500</v>
      </c>
      <c r="O28" s="14">
        <f t="shared" si="0"/>
        <v>46.950499210684519</v>
      </c>
      <c r="P28" s="413" t="s">
        <v>103</v>
      </c>
    </row>
    <row r="29" spans="1:16" ht="14.1" customHeight="1" x14ac:dyDescent="0.2">
      <c r="A29" s="471" t="s">
        <v>26</v>
      </c>
      <c r="B29" s="476">
        <v>3870</v>
      </c>
      <c r="C29" s="394">
        <v>2445</v>
      </c>
      <c r="D29" s="14">
        <f t="shared" ref="D29:D47" si="6">(C29/B29)*100</f>
        <v>63.178294573643413</v>
      </c>
      <c r="E29" s="394">
        <v>2397</v>
      </c>
      <c r="F29" s="14">
        <f t="shared" ref="F29:F47" si="7">(E29/B29)*100</f>
        <v>61.937984496124031</v>
      </c>
      <c r="G29" s="394">
        <v>2432</v>
      </c>
      <c r="H29" s="14">
        <f t="shared" ref="H29:H44" si="8">(G29/B29)*100</f>
        <v>62.842377260981905</v>
      </c>
      <c r="I29" s="394">
        <v>2396</v>
      </c>
      <c r="J29" s="14">
        <f t="shared" ref="J29:J47" si="9">(I29/B29)*100</f>
        <v>61.912144702842376</v>
      </c>
      <c r="K29" s="394">
        <v>2395</v>
      </c>
      <c r="L29" s="14">
        <f t="shared" ref="L29:L47" si="10">(K29/B29)*100</f>
        <v>61.886304909560721</v>
      </c>
      <c r="M29" s="440">
        <v>3120.6932474157607</v>
      </c>
      <c r="N29" s="394">
        <v>2263</v>
      </c>
      <c r="O29" s="14">
        <f t="shared" ref="O29:O47" si="11">(N29/M29)*100</f>
        <v>72.515938625944258</v>
      </c>
      <c r="P29" s="413" t="s">
        <v>103</v>
      </c>
    </row>
    <row r="30" spans="1:16" ht="14.1" customHeight="1" x14ac:dyDescent="0.2">
      <c r="A30" s="471" t="s">
        <v>27</v>
      </c>
      <c r="B30" s="476">
        <v>21452</v>
      </c>
      <c r="C30" s="394">
        <v>21796</v>
      </c>
      <c r="D30" s="14">
        <f t="shared" si="6"/>
        <v>101.60358008577288</v>
      </c>
      <c r="E30" s="394">
        <v>22292</v>
      </c>
      <c r="F30" s="14">
        <f t="shared" si="7"/>
        <v>103.91571881409658</v>
      </c>
      <c r="G30" s="394">
        <v>23709</v>
      </c>
      <c r="H30" s="14">
        <f t="shared" si="8"/>
        <v>110.5211635278762</v>
      </c>
      <c r="I30" s="394">
        <v>22446</v>
      </c>
      <c r="J30" s="14">
        <f t="shared" si="9"/>
        <v>104.63360059668096</v>
      </c>
      <c r="K30" s="394">
        <v>22827</v>
      </c>
      <c r="L30" s="14">
        <f t="shared" si="10"/>
        <v>106.40965877307478</v>
      </c>
      <c r="M30" s="440">
        <v>23286.541817693651</v>
      </c>
      <c r="N30" s="394">
        <v>21549</v>
      </c>
      <c r="O30" s="14">
        <f t="shared" si="11"/>
        <v>92.538429143766521</v>
      </c>
      <c r="P30" s="413" t="s">
        <v>103</v>
      </c>
    </row>
    <row r="31" spans="1:16" ht="14.1" customHeight="1" x14ac:dyDescent="0.2">
      <c r="A31" s="447" t="s">
        <v>124</v>
      </c>
      <c r="B31" s="476">
        <v>13383</v>
      </c>
      <c r="C31" s="394">
        <v>13066</v>
      </c>
      <c r="D31" s="14">
        <f t="shared" si="6"/>
        <v>97.631323320630642</v>
      </c>
      <c r="E31" s="394">
        <v>13318</v>
      </c>
      <c r="F31" s="14">
        <f t="shared" si="7"/>
        <v>99.514309198236575</v>
      </c>
      <c r="G31" s="394">
        <v>13059</v>
      </c>
      <c r="H31" s="14">
        <f t="shared" si="8"/>
        <v>97.579018157363819</v>
      </c>
      <c r="I31" s="394">
        <v>13879</v>
      </c>
      <c r="J31" s="14">
        <f t="shared" si="9"/>
        <v>103.70619442576402</v>
      </c>
      <c r="K31" s="394">
        <v>13800</v>
      </c>
      <c r="L31" s="14">
        <f t="shared" si="10"/>
        <v>103.11589329746693</v>
      </c>
      <c r="M31" s="440">
        <v>12681.52436568667</v>
      </c>
      <c r="N31" s="394">
        <v>11221</v>
      </c>
      <c r="O31" s="14">
        <f t="shared" si="11"/>
        <v>88.483053585903932</v>
      </c>
      <c r="P31" s="413" t="s">
        <v>103</v>
      </c>
    </row>
    <row r="32" spans="1:16" ht="14.1" customHeight="1" x14ac:dyDescent="0.2">
      <c r="A32" s="471" t="s">
        <v>28</v>
      </c>
      <c r="B32" s="476">
        <v>20772</v>
      </c>
      <c r="C32" s="394">
        <v>20332</v>
      </c>
      <c r="D32" s="14">
        <f t="shared" si="6"/>
        <v>97.881763912959755</v>
      </c>
      <c r="E32" s="394">
        <v>20231</v>
      </c>
      <c r="F32" s="14">
        <f t="shared" si="7"/>
        <v>97.395532447525511</v>
      </c>
      <c r="G32" s="394">
        <v>22135</v>
      </c>
      <c r="H32" s="14">
        <f t="shared" si="8"/>
        <v>106.56171769689968</v>
      </c>
      <c r="I32" s="394">
        <v>20151</v>
      </c>
      <c r="J32" s="14">
        <f t="shared" si="9"/>
        <v>97.010398613518205</v>
      </c>
      <c r="K32" s="394">
        <v>20285</v>
      </c>
      <c r="L32" s="14">
        <f t="shared" si="10"/>
        <v>97.655497785480449</v>
      </c>
      <c r="M32" s="440">
        <v>20687.941737145924</v>
      </c>
      <c r="N32" s="394">
        <v>19652</v>
      </c>
      <c r="O32" s="14">
        <f t="shared" si="11"/>
        <v>94.992533571931631</v>
      </c>
      <c r="P32" s="413" t="s">
        <v>103</v>
      </c>
    </row>
    <row r="33" spans="1:16" ht="14.1" customHeight="1" x14ac:dyDescent="0.2">
      <c r="A33" s="453" t="s">
        <v>127</v>
      </c>
      <c r="B33" s="476">
        <v>7982</v>
      </c>
      <c r="C33" s="394">
        <v>8824</v>
      </c>
      <c r="D33" s="14">
        <f t="shared" si="6"/>
        <v>110.54873465296917</v>
      </c>
      <c r="E33" s="394">
        <v>8608</v>
      </c>
      <c r="F33" s="14">
        <f t="shared" si="7"/>
        <v>107.84264595339515</v>
      </c>
      <c r="G33" s="394">
        <v>9516</v>
      </c>
      <c r="H33" s="14">
        <f t="shared" si="8"/>
        <v>119.21824104234528</v>
      </c>
      <c r="I33" s="394">
        <v>8539</v>
      </c>
      <c r="J33" s="14">
        <f t="shared" si="9"/>
        <v>106.97820095214232</v>
      </c>
      <c r="K33" s="394">
        <v>8634</v>
      </c>
      <c r="L33" s="14">
        <f t="shared" si="10"/>
        <v>108.16837885241794</v>
      </c>
      <c r="M33" s="440">
        <v>7950.0550409450934</v>
      </c>
      <c r="N33" s="394">
        <v>9429</v>
      </c>
      <c r="O33" s="14">
        <f t="shared" si="11"/>
        <v>118.60295245049134</v>
      </c>
      <c r="P33" s="413" t="s">
        <v>103</v>
      </c>
    </row>
    <row r="34" spans="1:16" ht="14.1" customHeight="1" x14ac:dyDescent="0.2">
      <c r="A34" s="471" t="s">
        <v>29</v>
      </c>
      <c r="B34" s="476">
        <v>16562</v>
      </c>
      <c r="C34" s="394">
        <v>16589</v>
      </c>
      <c r="D34" s="14">
        <f t="shared" si="6"/>
        <v>100.16302378939741</v>
      </c>
      <c r="E34" s="394">
        <v>16241</v>
      </c>
      <c r="F34" s="14">
        <f t="shared" si="7"/>
        <v>98.061828281608499</v>
      </c>
      <c r="G34" s="394">
        <v>16893</v>
      </c>
      <c r="H34" s="14">
        <f t="shared" si="8"/>
        <v>101.9985508996498</v>
      </c>
      <c r="I34" s="394">
        <v>15849</v>
      </c>
      <c r="J34" s="14">
        <f t="shared" si="9"/>
        <v>95.694964376283053</v>
      </c>
      <c r="K34" s="394">
        <v>15753</v>
      </c>
      <c r="L34" s="14">
        <f t="shared" si="10"/>
        <v>95.115324236203364</v>
      </c>
      <c r="M34" s="440">
        <v>16427.147312838413</v>
      </c>
      <c r="N34" s="394">
        <v>17292</v>
      </c>
      <c r="O34" s="14">
        <f t="shared" si="11"/>
        <v>105.26477708327162</v>
      </c>
      <c r="P34" s="413" t="s">
        <v>103</v>
      </c>
    </row>
    <row r="35" spans="1:16" ht="14.1" customHeight="1" x14ac:dyDescent="0.2">
      <c r="A35" s="471" t="s">
        <v>30</v>
      </c>
      <c r="B35" s="476">
        <v>33797</v>
      </c>
      <c r="C35" s="394">
        <v>28085</v>
      </c>
      <c r="D35" s="14">
        <f t="shared" si="6"/>
        <v>83.099091635352252</v>
      </c>
      <c r="E35" s="394">
        <v>28148</v>
      </c>
      <c r="F35" s="14">
        <f t="shared" si="7"/>
        <v>83.285498712903518</v>
      </c>
      <c r="G35" s="394">
        <v>27218</v>
      </c>
      <c r="H35" s="14">
        <f t="shared" si="8"/>
        <v>80.533775187146787</v>
      </c>
      <c r="I35" s="394">
        <v>28380</v>
      </c>
      <c r="J35" s="14">
        <f t="shared" si="9"/>
        <v>83.971950173092296</v>
      </c>
      <c r="K35" s="394">
        <v>28252</v>
      </c>
      <c r="L35" s="14">
        <f t="shared" si="10"/>
        <v>83.593218332988144</v>
      </c>
      <c r="M35" s="440">
        <v>32829.574305275877</v>
      </c>
      <c r="N35" s="394">
        <v>28483</v>
      </c>
      <c r="O35" s="14">
        <f t="shared" si="11"/>
        <v>86.76018682162028</v>
      </c>
      <c r="P35" s="413" t="s">
        <v>103</v>
      </c>
    </row>
    <row r="36" spans="1:16" ht="14.1" customHeight="1" x14ac:dyDescent="0.2">
      <c r="A36" s="447" t="s">
        <v>125</v>
      </c>
      <c r="B36" s="476">
        <v>32166</v>
      </c>
      <c r="C36" s="394">
        <v>27865</v>
      </c>
      <c r="D36" s="14">
        <f t="shared" si="6"/>
        <v>86.628738419449107</v>
      </c>
      <c r="E36" s="394">
        <v>29704</v>
      </c>
      <c r="F36" s="14">
        <f t="shared" si="7"/>
        <v>92.345955356587709</v>
      </c>
      <c r="G36" s="394">
        <v>26828</v>
      </c>
      <c r="H36" s="14">
        <f t="shared" si="8"/>
        <v>83.404837405956599</v>
      </c>
      <c r="I36" s="394">
        <v>29767</v>
      </c>
      <c r="J36" s="14">
        <f t="shared" si="9"/>
        <v>92.541814338121</v>
      </c>
      <c r="K36" s="394">
        <v>30086</v>
      </c>
      <c r="L36" s="14">
        <f t="shared" si="10"/>
        <v>93.533544736678479</v>
      </c>
      <c r="M36" s="440">
        <v>30108.361435539446</v>
      </c>
      <c r="N36" s="394">
        <v>25269</v>
      </c>
      <c r="O36" s="14">
        <f t="shared" si="11"/>
        <v>83.926852193865528</v>
      </c>
      <c r="P36" s="413" t="s">
        <v>103</v>
      </c>
    </row>
    <row r="37" spans="1:16" ht="14.1" customHeight="1" x14ac:dyDescent="0.2">
      <c r="A37" s="471" t="s">
        <v>31</v>
      </c>
      <c r="B37" s="476">
        <v>10830</v>
      </c>
      <c r="C37" s="394">
        <v>7750</v>
      </c>
      <c r="D37" s="14">
        <f t="shared" si="6"/>
        <v>71.560480147737763</v>
      </c>
      <c r="E37" s="394">
        <v>7900</v>
      </c>
      <c r="F37" s="14">
        <f t="shared" si="7"/>
        <v>72.945521698984308</v>
      </c>
      <c r="G37" s="394">
        <v>7790</v>
      </c>
      <c r="H37" s="14">
        <f t="shared" si="8"/>
        <v>71.929824561403507</v>
      </c>
      <c r="I37" s="394">
        <v>7841</v>
      </c>
      <c r="J37" s="14">
        <f t="shared" si="9"/>
        <v>72.400738688827332</v>
      </c>
      <c r="K37" s="394">
        <v>7862</v>
      </c>
      <c r="L37" s="14">
        <f t="shared" si="10"/>
        <v>72.594644506001842</v>
      </c>
      <c r="M37" s="440">
        <v>8316.9045956951722</v>
      </c>
      <c r="N37" s="394">
        <v>7418</v>
      </c>
      <c r="O37" s="14">
        <f t="shared" si="11"/>
        <v>89.191837114971293</v>
      </c>
      <c r="P37" s="413" t="s">
        <v>103</v>
      </c>
    </row>
    <row r="38" spans="1:16" ht="14.1" customHeight="1" x14ac:dyDescent="0.2">
      <c r="A38" s="471" t="s">
        <v>104</v>
      </c>
      <c r="B38" s="476">
        <v>7703</v>
      </c>
      <c r="C38" s="394">
        <v>9851</v>
      </c>
      <c r="D38" s="14">
        <f t="shared" si="6"/>
        <v>127.88523951707127</v>
      </c>
      <c r="E38" s="394">
        <v>9851</v>
      </c>
      <c r="F38" s="14">
        <f t="shared" si="7"/>
        <v>127.88523951707127</v>
      </c>
      <c r="G38" s="394">
        <v>9059</v>
      </c>
      <c r="H38" s="14">
        <f t="shared" si="8"/>
        <v>117.60353109178243</v>
      </c>
      <c r="I38" s="394">
        <v>9851</v>
      </c>
      <c r="J38" s="14">
        <f t="shared" si="9"/>
        <v>127.88523951707127</v>
      </c>
      <c r="K38" s="394">
        <v>9851</v>
      </c>
      <c r="L38" s="14">
        <f t="shared" si="10"/>
        <v>127.88523951707127</v>
      </c>
      <c r="M38" s="440">
        <v>11337.727748691099</v>
      </c>
      <c r="N38" s="394">
        <v>9780</v>
      </c>
      <c r="O38" s="14">
        <f t="shared" si="11"/>
        <v>86.260670716220602</v>
      </c>
      <c r="P38" s="413" t="s">
        <v>103</v>
      </c>
    </row>
    <row r="39" spans="1:16" ht="14.1" customHeight="1" x14ac:dyDescent="0.2">
      <c r="A39" s="471" t="s">
        <v>33</v>
      </c>
      <c r="B39" s="476">
        <v>15517</v>
      </c>
      <c r="C39" s="394">
        <v>14243</v>
      </c>
      <c r="D39" s="14">
        <f t="shared" si="6"/>
        <v>91.78965006122317</v>
      </c>
      <c r="E39" s="394">
        <v>14529</v>
      </c>
      <c r="F39" s="14">
        <f t="shared" si="7"/>
        <v>93.632789843397575</v>
      </c>
      <c r="G39" s="394">
        <v>15536</v>
      </c>
      <c r="H39" s="14">
        <f t="shared" si="8"/>
        <v>100.12244634916543</v>
      </c>
      <c r="I39" s="394">
        <v>14505</v>
      </c>
      <c r="J39" s="14">
        <f t="shared" si="9"/>
        <v>93.478120770767546</v>
      </c>
      <c r="K39" s="394">
        <v>14392</v>
      </c>
      <c r="L39" s="14">
        <f t="shared" si="10"/>
        <v>92.749887220467869</v>
      </c>
      <c r="M39" s="440">
        <v>18608.468385018125</v>
      </c>
      <c r="N39" s="394">
        <v>15427</v>
      </c>
      <c r="O39" s="14">
        <f t="shared" si="11"/>
        <v>82.90311529572439</v>
      </c>
      <c r="P39" s="413" t="s">
        <v>103</v>
      </c>
    </row>
    <row r="40" spans="1:16" ht="14.1" customHeight="1" x14ac:dyDescent="0.2">
      <c r="A40" s="471" t="s">
        <v>34</v>
      </c>
      <c r="B40" s="476">
        <v>1594</v>
      </c>
      <c r="C40" s="394">
        <v>825</v>
      </c>
      <c r="D40" s="14">
        <f t="shared" si="6"/>
        <v>51.75658720200753</v>
      </c>
      <c r="E40" s="394">
        <v>808</v>
      </c>
      <c r="F40" s="14">
        <f t="shared" si="7"/>
        <v>50.690087829360095</v>
      </c>
      <c r="G40" s="394">
        <v>761</v>
      </c>
      <c r="H40" s="14">
        <f t="shared" si="8"/>
        <v>47.741530740276033</v>
      </c>
      <c r="I40" s="394">
        <v>815</v>
      </c>
      <c r="J40" s="14">
        <f t="shared" si="9"/>
        <v>51.129234629861983</v>
      </c>
      <c r="K40" s="394">
        <v>818</v>
      </c>
      <c r="L40" s="14">
        <f t="shared" si="10"/>
        <v>51.317440401505642</v>
      </c>
      <c r="M40" s="440">
        <v>1615.7201414060053</v>
      </c>
      <c r="N40" s="394">
        <v>1022</v>
      </c>
      <c r="O40" s="14">
        <f t="shared" si="11"/>
        <v>63.25352849229521</v>
      </c>
      <c r="P40" s="413" t="s">
        <v>103</v>
      </c>
    </row>
    <row r="41" spans="1:16" ht="14.1" customHeight="1" x14ac:dyDescent="0.2">
      <c r="A41" s="471" t="s">
        <v>35</v>
      </c>
      <c r="B41" s="476">
        <v>42173</v>
      </c>
      <c r="C41" s="394">
        <v>34207</v>
      </c>
      <c r="D41" s="14">
        <f t="shared" si="6"/>
        <v>81.111137457615058</v>
      </c>
      <c r="E41" s="394">
        <v>34140</v>
      </c>
      <c r="F41" s="14">
        <f t="shared" si="7"/>
        <v>80.952268038792596</v>
      </c>
      <c r="G41" s="394">
        <v>35765</v>
      </c>
      <c r="H41" s="14">
        <f t="shared" si="8"/>
        <v>84.805444241576367</v>
      </c>
      <c r="I41" s="394">
        <v>34120</v>
      </c>
      <c r="J41" s="14">
        <f t="shared" si="9"/>
        <v>80.904844331681403</v>
      </c>
      <c r="K41" s="394">
        <v>34122</v>
      </c>
      <c r="L41" s="14">
        <f t="shared" si="10"/>
        <v>80.909586702392517</v>
      </c>
      <c r="M41" s="440">
        <v>39719.62200742829</v>
      </c>
      <c r="N41" s="394">
        <v>35051</v>
      </c>
      <c r="O41" s="14">
        <f t="shared" si="11"/>
        <v>88.246056302964888</v>
      </c>
      <c r="P41" s="413" t="s">
        <v>103</v>
      </c>
    </row>
    <row r="42" spans="1:16" ht="14.1" customHeight="1" x14ac:dyDescent="0.2">
      <c r="A42" s="471" t="s">
        <v>36</v>
      </c>
      <c r="B42" s="476">
        <v>20612</v>
      </c>
      <c r="C42" s="394">
        <v>20181</v>
      </c>
      <c r="D42" s="14">
        <f t="shared" si="6"/>
        <v>97.908985057248216</v>
      </c>
      <c r="E42" s="394">
        <v>20181</v>
      </c>
      <c r="F42" s="14">
        <f t="shared" si="7"/>
        <v>97.908985057248216</v>
      </c>
      <c r="G42" s="394">
        <v>19234</v>
      </c>
      <c r="H42" s="14">
        <f t="shared" si="8"/>
        <v>93.314574034542986</v>
      </c>
      <c r="I42" s="394">
        <v>20181</v>
      </c>
      <c r="J42" s="14">
        <f t="shared" si="9"/>
        <v>97.908985057248216</v>
      </c>
      <c r="K42" s="394">
        <v>20181</v>
      </c>
      <c r="L42" s="14">
        <f t="shared" si="10"/>
        <v>97.908985057248216</v>
      </c>
      <c r="M42" s="440">
        <v>17975.628182753837</v>
      </c>
      <c r="N42" s="394">
        <v>20083</v>
      </c>
      <c r="O42" s="14">
        <f t="shared" si="11"/>
        <v>111.723494699718</v>
      </c>
      <c r="P42" s="413" t="s">
        <v>103</v>
      </c>
    </row>
    <row r="43" spans="1:16" ht="14.1" customHeight="1" x14ac:dyDescent="0.2">
      <c r="A43" s="471" t="s">
        <v>37</v>
      </c>
      <c r="B43" s="476">
        <v>21562</v>
      </c>
      <c r="C43" s="394">
        <v>26029</v>
      </c>
      <c r="D43" s="14">
        <f t="shared" si="6"/>
        <v>120.71700213338281</v>
      </c>
      <c r="E43" s="394">
        <v>26235</v>
      </c>
      <c r="F43" s="14">
        <f t="shared" si="7"/>
        <v>121.67238660606623</v>
      </c>
      <c r="G43" s="394">
        <v>27419</v>
      </c>
      <c r="H43" s="14">
        <f t="shared" si="8"/>
        <v>127.16352842964473</v>
      </c>
      <c r="I43" s="394">
        <v>26428</v>
      </c>
      <c r="J43" s="14">
        <f t="shared" si="9"/>
        <v>122.56747982561916</v>
      </c>
      <c r="K43" s="394">
        <v>26397</v>
      </c>
      <c r="L43" s="14">
        <f t="shared" si="10"/>
        <v>122.4237083758464</v>
      </c>
      <c r="M43" s="440">
        <v>27233.882579317135</v>
      </c>
      <c r="N43" s="394">
        <v>24593</v>
      </c>
      <c r="O43" s="14">
        <f t="shared" si="11"/>
        <v>90.302952318217152</v>
      </c>
      <c r="P43" s="413" t="s">
        <v>103</v>
      </c>
    </row>
    <row r="44" spans="1:16" ht="14.1" customHeight="1" x14ac:dyDescent="0.2">
      <c r="A44" s="471" t="s">
        <v>38</v>
      </c>
      <c r="B44" s="476">
        <v>77403</v>
      </c>
      <c r="C44" s="394">
        <v>87238</v>
      </c>
      <c r="D44" s="14">
        <f t="shared" si="6"/>
        <v>112.70622585687893</v>
      </c>
      <c r="E44" s="394">
        <v>82485</v>
      </c>
      <c r="F44" s="14">
        <f t="shared" si="7"/>
        <v>106.56563699081431</v>
      </c>
      <c r="G44" s="394">
        <v>77994</v>
      </c>
      <c r="H44" s="14">
        <f t="shared" si="8"/>
        <v>100.76353629704275</v>
      </c>
      <c r="I44" s="394">
        <v>84567</v>
      </c>
      <c r="J44" s="14">
        <f t="shared" si="9"/>
        <v>109.25545521491415</v>
      </c>
      <c r="K44" s="394">
        <v>80901</v>
      </c>
      <c r="L44" s="14">
        <f t="shared" si="10"/>
        <v>104.51920468198908</v>
      </c>
      <c r="M44" s="440">
        <v>78046.00675705912</v>
      </c>
      <c r="N44" s="394">
        <v>76725</v>
      </c>
      <c r="O44" s="14">
        <f t="shared" si="11"/>
        <v>98.307399940177419</v>
      </c>
      <c r="P44" s="413" t="s">
        <v>103</v>
      </c>
    </row>
    <row r="45" spans="1:16" ht="14.1" customHeight="1" x14ac:dyDescent="0.2">
      <c r="A45" s="471" t="s">
        <v>39</v>
      </c>
      <c r="B45" s="476">
        <v>1112</v>
      </c>
      <c r="C45" s="394">
        <v>499</v>
      </c>
      <c r="D45" s="14">
        <f t="shared" si="6"/>
        <v>44.874100719424462</v>
      </c>
      <c r="E45" s="394">
        <v>514</v>
      </c>
      <c r="F45" s="14">
        <f t="shared" si="7"/>
        <v>46.223021582733814</v>
      </c>
      <c r="G45" s="394">
        <v>643</v>
      </c>
      <c r="H45" s="14">
        <v>39</v>
      </c>
      <c r="I45" s="394">
        <v>370</v>
      </c>
      <c r="J45" s="14">
        <f t="shared" si="9"/>
        <v>33.273381294964025</v>
      </c>
      <c r="K45" s="394">
        <v>419</v>
      </c>
      <c r="L45" s="14">
        <f t="shared" si="10"/>
        <v>37.67985611510791</v>
      </c>
      <c r="M45" s="440">
        <v>919.59591891529067</v>
      </c>
      <c r="N45" s="394">
        <v>513</v>
      </c>
      <c r="O45" s="14">
        <f t="shared" si="11"/>
        <v>55.78537153634926</v>
      </c>
      <c r="P45" s="413" t="s">
        <v>103</v>
      </c>
    </row>
    <row r="46" spans="1:16" ht="14.1" customHeight="1" thickBot="1" x14ac:dyDescent="0.25">
      <c r="A46" s="474" t="s">
        <v>40</v>
      </c>
      <c r="B46" s="477">
        <v>3043</v>
      </c>
      <c r="C46" s="438">
        <v>849</v>
      </c>
      <c r="D46" s="28">
        <f t="shared" si="6"/>
        <v>27.900098586920802</v>
      </c>
      <c r="E46" s="438">
        <v>852</v>
      </c>
      <c r="F46" s="28">
        <f t="shared" si="7"/>
        <v>27.998685507722641</v>
      </c>
      <c r="G46" s="438">
        <v>1151</v>
      </c>
      <c r="H46" s="28">
        <f>(G46/B46)*100</f>
        <v>37.824515280972726</v>
      </c>
      <c r="I46" s="438">
        <v>840</v>
      </c>
      <c r="J46" s="28">
        <f t="shared" si="9"/>
        <v>27.60433782451528</v>
      </c>
      <c r="K46" s="438">
        <v>846</v>
      </c>
      <c r="L46" s="28">
        <f t="shared" si="10"/>
        <v>27.801511666118962</v>
      </c>
      <c r="M46" s="442">
        <v>2697.4813621515191</v>
      </c>
      <c r="N46" s="438">
        <v>976</v>
      </c>
      <c r="O46" s="28">
        <f t="shared" si="11"/>
        <v>36.181899667382297</v>
      </c>
      <c r="P46" s="434" t="s">
        <v>103</v>
      </c>
    </row>
    <row r="47" spans="1:16" ht="13.5" thickBot="1" x14ac:dyDescent="0.25">
      <c r="A47" s="149" t="s">
        <v>41</v>
      </c>
      <c r="B47" s="436">
        <f>SUM(B11:B46)</f>
        <v>885871</v>
      </c>
      <c r="C47" s="436">
        <f>SUM(C11:C46)</f>
        <v>817813</v>
      </c>
      <c r="D47" s="78">
        <f t="shared" si="6"/>
        <v>92.317391584101969</v>
      </c>
      <c r="E47" s="436">
        <f>SUM(E11:E46)</f>
        <v>814577</v>
      </c>
      <c r="F47" s="78">
        <f t="shared" si="7"/>
        <v>91.952101378191628</v>
      </c>
      <c r="G47" s="436">
        <f>SUM(G11:G46)</f>
        <v>857271</v>
      </c>
      <c r="H47" s="78">
        <f>(G47/B47)*100</f>
        <v>96.771538971249754</v>
      </c>
      <c r="I47" s="436">
        <f>SUM(I11:I46)</f>
        <v>813954</v>
      </c>
      <c r="J47" s="78">
        <f t="shared" si="9"/>
        <v>91.881775111726199</v>
      </c>
      <c r="K47" s="436">
        <f>SUM(K11:K46)</f>
        <v>822798</v>
      </c>
      <c r="L47" s="78">
        <f t="shared" si="10"/>
        <v>92.880114599078198</v>
      </c>
      <c r="M47" s="436">
        <f>SUM(M11:M46)</f>
        <v>883880.00000000023</v>
      </c>
      <c r="N47" s="436">
        <f>SUM(N11:N46)</f>
        <v>820271</v>
      </c>
      <c r="O47" s="78">
        <f t="shared" si="11"/>
        <v>92.803434855410217</v>
      </c>
      <c r="P47" s="433"/>
    </row>
    <row r="48" spans="1:16" ht="13.5" thickBot="1" x14ac:dyDescent="0.25">
      <c r="A48" s="36" t="s">
        <v>105</v>
      </c>
      <c r="B48" s="82"/>
      <c r="C48" s="86">
        <f ca="1">NOW()</f>
        <v>43938.790609606483</v>
      </c>
      <c r="D48" s="38"/>
      <c r="E48" s="82"/>
      <c r="F48" s="83"/>
      <c r="G48" s="82"/>
      <c r="H48" s="83"/>
      <c r="I48" s="82"/>
      <c r="J48" s="83"/>
      <c r="K48" s="82"/>
      <c r="L48" s="83"/>
      <c r="M48" s="82"/>
      <c r="N48" s="82"/>
      <c r="O48" s="83"/>
      <c r="P48" s="84"/>
    </row>
  </sheetData>
  <mergeCells count="7">
    <mergeCell ref="A8:P8"/>
    <mergeCell ref="C9:D9"/>
    <mergeCell ref="E9:F9"/>
    <mergeCell ref="G9:H9"/>
    <mergeCell ref="I9:J9"/>
    <mergeCell ref="K9:L9"/>
    <mergeCell ref="N9:O9"/>
  </mergeCells>
  <phoneticPr fontId="11" type="noConversion"/>
  <printOptions horizontalCentered="1" verticalCentered="1"/>
  <pageMargins left="0.39370078740157483" right="0.27559055118110237" top="1.0236220472440944" bottom="0.39370078740157483" header="0.31496062992125984" footer="0"/>
  <pageSetup scale="85" orientation="landscape" horizontalDpi="4294967295" verticalDpi="4294967295" r:id="rId1"/>
  <headerFooter alignWithMargins="0">
    <oddHeader>&amp;L    &amp;G&amp;C&amp;"Arial,Negrita"MINISTERIO DE LA PROTECCION SOCIAL
República de Colombia
Dirección General de Salud Pública
Programa Ampliado de Inmunizaciones - PAI</oddHeader>
    <oddFooter>&amp;L             &amp;D&amp;C&amp;F</oddFooter>
  </headerFooter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6"/>
  </sheetPr>
  <dimension ref="A5:P49"/>
  <sheetViews>
    <sheetView zoomScale="90" zoomScaleNormal="90" workbookViewId="0">
      <pane xSplit="2" ySplit="10" topLeftCell="C11" activePane="bottomRight" state="frozen"/>
      <selection activeCell="A4" sqref="A4"/>
      <selection pane="topRight" activeCell="A4" sqref="A4"/>
      <selection pane="bottomLeft" activeCell="A4" sqref="A4"/>
      <selection pane="bottomRight" activeCell="C11" sqref="C11"/>
    </sheetView>
  </sheetViews>
  <sheetFormatPr baseColWidth="10" defaultRowHeight="12.75" x14ac:dyDescent="0.2"/>
  <cols>
    <col min="1" max="1" width="23" style="17" customWidth="1"/>
    <col min="2" max="2" width="11.28515625" style="17" bestFit="1" customWidth="1"/>
    <col min="3" max="3" width="9" style="17" bestFit="1" customWidth="1"/>
    <col min="4" max="4" width="7" style="17" customWidth="1"/>
    <col min="5" max="5" width="9" style="17" bestFit="1" customWidth="1"/>
    <col min="6" max="6" width="6.85546875" style="17" customWidth="1"/>
    <col min="7" max="7" width="11.42578125" style="17" bestFit="1" customWidth="1"/>
    <col min="8" max="8" width="6.5703125" style="17" customWidth="1"/>
    <col min="9" max="9" width="9" style="17" bestFit="1" customWidth="1"/>
    <col min="10" max="10" width="7.85546875" style="17" customWidth="1"/>
    <col min="11" max="11" width="9" style="17" bestFit="1" customWidth="1"/>
    <col min="12" max="12" width="6.85546875" style="17" customWidth="1"/>
    <col min="13" max="13" width="11" style="17" bestFit="1" customWidth="1"/>
    <col min="14" max="14" width="11.42578125" style="17" bestFit="1" customWidth="1"/>
    <col min="15" max="15" width="6.7109375" style="17" customWidth="1"/>
    <col min="16" max="16" width="12.140625" style="17" bestFit="1" customWidth="1"/>
    <col min="17" max="16384" width="11.42578125" style="17"/>
  </cols>
  <sheetData>
    <row r="5" spans="1:16" x14ac:dyDescent="0.2">
      <c r="A5" s="702" t="s">
        <v>305</v>
      </c>
      <c r="B5" s="753" t="s">
        <v>318</v>
      </c>
    </row>
    <row r="6" spans="1:16" x14ac:dyDescent="0.2">
      <c r="A6" s="702" t="s">
        <v>306</v>
      </c>
      <c r="B6" s="776">
        <v>38362</v>
      </c>
    </row>
    <row r="7" spans="1:16" x14ac:dyDescent="0.2">
      <c r="A7" s="702" t="s">
        <v>307</v>
      </c>
      <c r="B7" s="766" t="s">
        <v>312</v>
      </c>
    </row>
    <row r="8" spans="1:16" ht="13.5" thickBot="1" x14ac:dyDescent="0.25">
      <c r="A8" s="1863" t="s">
        <v>130</v>
      </c>
      <c r="B8" s="1863"/>
      <c r="C8" s="1863"/>
      <c r="D8" s="1863"/>
      <c r="E8" s="1863"/>
      <c r="F8" s="1863"/>
      <c r="G8" s="1863"/>
      <c r="H8" s="1863"/>
      <c r="I8" s="1863"/>
      <c r="J8" s="1863"/>
      <c r="K8" s="1863"/>
      <c r="L8" s="1863"/>
      <c r="M8" s="1863"/>
      <c r="N8" s="1863"/>
      <c r="O8" s="1863"/>
      <c r="P8" s="1863"/>
    </row>
    <row r="9" spans="1:16" x14ac:dyDescent="0.2">
      <c r="A9" s="1868" t="s">
        <v>106</v>
      </c>
      <c r="B9" s="1870" t="s">
        <v>148</v>
      </c>
      <c r="C9" s="89" t="s">
        <v>107</v>
      </c>
      <c r="D9" s="89"/>
      <c r="E9" s="89" t="s">
        <v>6</v>
      </c>
      <c r="F9" s="89"/>
      <c r="G9" s="89" t="s">
        <v>7</v>
      </c>
      <c r="H9" s="89"/>
      <c r="I9" s="89" t="s">
        <v>108</v>
      </c>
      <c r="J9" s="89"/>
      <c r="K9" s="89" t="s">
        <v>109</v>
      </c>
      <c r="L9" s="89"/>
      <c r="M9" s="1870" t="s">
        <v>149</v>
      </c>
      <c r="N9" s="89" t="s">
        <v>110</v>
      </c>
      <c r="O9" s="89"/>
      <c r="P9" s="1872" t="s">
        <v>139</v>
      </c>
    </row>
    <row r="10" spans="1:16" ht="27" customHeight="1" thickBot="1" x14ac:dyDescent="0.25">
      <c r="A10" s="1869"/>
      <c r="B10" s="1871"/>
      <c r="C10" s="90" t="s">
        <v>111</v>
      </c>
      <c r="D10" s="90" t="s">
        <v>5</v>
      </c>
      <c r="E10" s="90" t="s">
        <v>111</v>
      </c>
      <c r="F10" s="90" t="s">
        <v>5</v>
      </c>
      <c r="G10" s="90" t="s">
        <v>112</v>
      </c>
      <c r="H10" s="90" t="s">
        <v>5</v>
      </c>
      <c r="I10" s="90" t="s">
        <v>111</v>
      </c>
      <c r="J10" s="90" t="s">
        <v>5</v>
      </c>
      <c r="K10" s="90" t="s">
        <v>111</v>
      </c>
      <c r="L10" s="90" t="s">
        <v>5</v>
      </c>
      <c r="M10" s="1871"/>
      <c r="N10" s="90" t="s">
        <v>112</v>
      </c>
      <c r="O10" s="90" t="s">
        <v>5</v>
      </c>
      <c r="P10" s="1873"/>
    </row>
    <row r="11" spans="1:16" ht="14.1" customHeight="1" x14ac:dyDescent="0.2">
      <c r="A11" s="91" t="s">
        <v>12</v>
      </c>
      <c r="B11" s="481">
        <v>2216</v>
      </c>
      <c r="C11" s="478">
        <v>1732</v>
      </c>
      <c r="D11" s="484">
        <f>(C11*100)/B11</f>
        <v>78.158844765342963</v>
      </c>
      <c r="E11" s="488">
        <v>1732</v>
      </c>
      <c r="F11" s="489">
        <f>(E11*100)/B11</f>
        <v>78.158844765342963</v>
      </c>
      <c r="G11" s="478">
        <v>1764</v>
      </c>
      <c r="H11" s="484">
        <f>(G11*100)/B11</f>
        <v>79.602888086642594</v>
      </c>
      <c r="I11" s="488">
        <v>1730</v>
      </c>
      <c r="J11" s="489">
        <f>(I11*100)/B11</f>
        <v>78.068592057761734</v>
      </c>
      <c r="K11" s="478">
        <v>1729</v>
      </c>
      <c r="L11" s="484">
        <f>(K11*100)/B11</f>
        <v>78.023465703971112</v>
      </c>
      <c r="M11" s="481">
        <v>2213</v>
      </c>
      <c r="N11" s="478">
        <v>1745</v>
      </c>
      <c r="O11" s="484">
        <f>(N11*100)/M11</f>
        <v>78.852236782647992</v>
      </c>
      <c r="P11" s="499" t="s">
        <v>113</v>
      </c>
    </row>
    <row r="12" spans="1:16" ht="14.1" customHeight="1" x14ac:dyDescent="0.2">
      <c r="A12" s="92" t="s">
        <v>11</v>
      </c>
      <c r="B12" s="482">
        <v>109522</v>
      </c>
      <c r="C12" s="479">
        <v>94306</v>
      </c>
      <c r="D12" s="485">
        <f t="shared" ref="D12:D32" si="0">(C12*100)/B12</f>
        <v>86.106900896623515</v>
      </c>
      <c r="E12" s="490">
        <v>95165</v>
      </c>
      <c r="F12" s="491">
        <f t="shared" ref="F12:F32" si="1">(E12*100)/B12</f>
        <v>86.89121820273553</v>
      </c>
      <c r="G12" s="479">
        <v>104084</v>
      </c>
      <c r="H12" s="485">
        <f t="shared" ref="H12:H32" si="2">(G12*100)/B12</f>
        <v>95.034787531272258</v>
      </c>
      <c r="I12" s="490">
        <v>95176</v>
      </c>
      <c r="J12" s="491">
        <f t="shared" ref="J12:J32" si="3">(I12*100)/B12</f>
        <v>86.901261846934858</v>
      </c>
      <c r="K12" s="479">
        <v>95067</v>
      </c>
      <c r="L12" s="485">
        <f t="shared" ref="L12:L32" si="4">(K12*100)/B12</f>
        <v>86.801738463505046</v>
      </c>
      <c r="M12" s="482">
        <v>108043</v>
      </c>
      <c r="N12" s="479">
        <v>99909</v>
      </c>
      <c r="O12" s="485">
        <f t="shared" ref="O12:O32" si="5">(N12*100)/M12</f>
        <v>92.471515970493229</v>
      </c>
      <c r="P12" s="500" t="s">
        <v>113</v>
      </c>
    </row>
    <row r="13" spans="1:16" ht="14.1" customHeight="1" x14ac:dyDescent="0.2">
      <c r="A13" s="92" t="s">
        <v>13</v>
      </c>
      <c r="B13" s="482">
        <v>6480</v>
      </c>
      <c r="C13" s="479">
        <v>5957</v>
      </c>
      <c r="D13" s="485">
        <f t="shared" si="0"/>
        <v>91.929012345679013</v>
      </c>
      <c r="E13" s="490">
        <v>5974</v>
      </c>
      <c r="F13" s="491">
        <f t="shared" si="1"/>
        <v>92.191358024691354</v>
      </c>
      <c r="G13" s="479">
        <v>5261</v>
      </c>
      <c r="H13" s="485">
        <f t="shared" si="2"/>
        <v>81.188271604938265</v>
      </c>
      <c r="I13" s="490">
        <v>5974</v>
      </c>
      <c r="J13" s="491">
        <f t="shared" si="3"/>
        <v>92.191358024691354</v>
      </c>
      <c r="K13" s="479">
        <v>5973</v>
      </c>
      <c r="L13" s="485">
        <f t="shared" si="4"/>
        <v>92.175925925925924</v>
      </c>
      <c r="M13" s="482">
        <v>6459</v>
      </c>
      <c r="N13" s="479">
        <v>5281</v>
      </c>
      <c r="O13" s="485">
        <f t="shared" si="5"/>
        <v>81.761882644372193</v>
      </c>
      <c r="P13" s="500" t="s">
        <v>113</v>
      </c>
    </row>
    <row r="14" spans="1:16" ht="14.1" customHeight="1" x14ac:dyDescent="0.2">
      <c r="A14" s="92" t="s">
        <v>114</v>
      </c>
      <c r="B14" s="482">
        <v>20318</v>
      </c>
      <c r="C14" s="479">
        <v>16680</v>
      </c>
      <c r="D14" s="485">
        <f t="shared" si="0"/>
        <v>82.094694359681071</v>
      </c>
      <c r="E14" s="490">
        <v>16816</v>
      </c>
      <c r="F14" s="491">
        <f t="shared" si="1"/>
        <v>82.764051579879904</v>
      </c>
      <c r="G14" s="479">
        <v>17250</v>
      </c>
      <c r="H14" s="485">
        <f t="shared" si="2"/>
        <v>84.900088591396795</v>
      </c>
      <c r="I14" s="490">
        <v>16816</v>
      </c>
      <c r="J14" s="491">
        <f t="shared" si="3"/>
        <v>82.764051579879904</v>
      </c>
      <c r="K14" s="479">
        <v>16816</v>
      </c>
      <c r="L14" s="485">
        <f t="shared" si="4"/>
        <v>82.764051579879904</v>
      </c>
      <c r="M14" s="482">
        <v>20145</v>
      </c>
      <c r="N14" s="479">
        <v>16770</v>
      </c>
      <c r="O14" s="485">
        <f t="shared" si="5"/>
        <v>83.246463142218914</v>
      </c>
      <c r="P14" s="500" t="s">
        <v>113</v>
      </c>
    </row>
    <row r="15" spans="1:16" ht="14.1" customHeight="1" x14ac:dyDescent="0.2">
      <c r="A15" s="92" t="s">
        <v>115</v>
      </c>
      <c r="B15" s="482">
        <v>26639</v>
      </c>
      <c r="C15" s="479">
        <v>29427</v>
      </c>
      <c r="D15" s="485">
        <f t="shared" si="0"/>
        <v>110.46585832801532</v>
      </c>
      <c r="E15" s="490">
        <v>30390</v>
      </c>
      <c r="F15" s="491">
        <f t="shared" si="1"/>
        <v>114.08085889109951</v>
      </c>
      <c r="G15" s="479">
        <v>36047</v>
      </c>
      <c r="H15" s="485">
        <f t="shared" si="2"/>
        <v>135.31664101505311</v>
      </c>
      <c r="I15" s="490">
        <v>30394</v>
      </c>
      <c r="J15" s="491">
        <f t="shared" si="3"/>
        <v>114.09587446976238</v>
      </c>
      <c r="K15" s="479">
        <v>29899</v>
      </c>
      <c r="L15" s="485">
        <f t="shared" si="4"/>
        <v>112.23769661023312</v>
      </c>
      <c r="M15" s="482">
        <v>26302</v>
      </c>
      <c r="N15" s="479">
        <v>27643</v>
      </c>
      <c r="O15" s="485">
        <f t="shared" si="5"/>
        <v>105.09847159911794</v>
      </c>
      <c r="P15" s="500" t="s">
        <v>113</v>
      </c>
    </row>
    <row r="16" spans="1:16" ht="14.1" customHeight="1" x14ac:dyDescent="0.2">
      <c r="A16" s="92" t="s">
        <v>116</v>
      </c>
      <c r="B16" s="482">
        <v>128066</v>
      </c>
      <c r="C16" s="479">
        <v>103656</v>
      </c>
      <c r="D16" s="485">
        <f t="shared" si="0"/>
        <v>80.939515562288193</v>
      </c>
      <c r="E16" s="490">
        <v>103514</v>
      </c>
      <c r="F16" s="491">
        <f t="shared" si="1"/>
        <v>80.828635234956977</v>
      </c>
      <c r="G16" s="479">
        <v>117671</v>
      </c>
      <c r="H16" s="485">
        <f t="shared" si="2"/>
        <v>91.883091530929363</v>
      </c>
      <c r="I16" s="490">
        <v>103192</v>
      </c>
      <c r="J16" s="491">
        <f t="shared" si="3"/>
        <v>80.577202380022797</v>
      </c>
      <c r="K16" s="479">
        <v>103692</v>
      </c>
      <c r="L16" s="485">
        <f t="shared" si="4"/>
        <v>80.96762606780878</v>
      </c>
      <c r="M16" s="482">
        <v>125788</v>
      </c>
      <c r="N16" s="479">
        <v>103829</v>
      </c>
      <c r="O16" s="485">
        <f t="shared" si="5"/>
        <v>82.542849874391834</v>
      </c>
      <c r="P16" s="500" t="s">
        <v>113</v>
      </c>
    </row>
    <row r="17" spans="1:16" ht="14.1" customHeight="1" x14ac:dyDescent="0.2">
      <c r="A17" s="92" t="s">
        <v>117</v>
      </c>
      <c r="B17" s="482">
        <v>27294</v>
      </c>
      <c r="C17" s="479">
        <v>23106</v>
      </c>
      <c r="D17" s="485">
        <f t="shared" si="0"/>
        <v>84.655968344691146</v>
      </c>
      <c r="E17" s="490">
        <v>23349</v>
      </c>
      <c r="F17" s="491">
        <f t="shared" si="1"/>
        <v>85.546273906353051</v>
      </c>
      <c r="G17" s="479">
        <v>21787</v>
      </c>
      <c r="H17" s="485">
        <f t="shared" si="2"/>
        <v>79.823404411225908</v>
      </c>
      <c r="I17" s="490">
        <v>23247</v>
      </c>
      <c r="J17" s="491">
        <f t="shared" si="3"/>
        <v>85.172565398988795</v>
      </c>
      <c r="K17" s="479">
        <v>23355</v>
      </c>
      <c r="L17" s="485">
        <f t="shared" si="4"/>
        <v>85.568256759727419</v>
      </c>
      <c r="M17" s="482">
        <v>27367</v>
      </c>
      <c r="N17" s="479">
        <v>22074</v>
      </c>
      <c r="O17" s="485">
        <f t="shared" si="5"/>
        <v>80.659188073226872</v>
      </c>
      <c r="P17" s="500" t="s">
        <v>113</v>
      </c>
    </row>
    <row r="18" spans="1:16" ht="14.1" customHeight="1" x14ac:dyDescent="0.2">
      <c r="A18" s="92" t="s">
        <v>118</v>
      </c>
      <c r="B18" s="482">
        <v>28968</v>
      </c>
      <c r="C18" s="479">
        <v>23047</v>
      </c>
      <c r="D18" s="485">
        <f t="shared" si="0"/>
        <v>79.560204363435517</v>
      </c>
      <c r="E18" s="490">
        <v>23108</v>
      </c>
      <c r="F18" s="491">
        <f t="shared" si="1"/>
        <v>79.770781552057443</v>
      </c>
      <c r="G18" s="479">
        <v>23754</v>
      </c>
      <c r="H18" s="485">
        <f t="shared" si="2"/>
        <v>82.000828500414244</v>
      </c>
      <c r="I18" s="490">
        <v>23133</v>
      </c>
      <c r="J18" s="491">
        <f t="shared" si="3"/>
        <v>79.857083678541841</v>
      </c>
      <c r="K18" s="479">
        <v>23199</v>
      </c>
      <c r="L18" s="485">
        <f t="shared" si="4"/>
        <v>80.084921292460649</v>
      </c>
      <c r="M18" s="482">
        <v>28700</v>
      </c>
      <c r="N18" s="479">
        <v>24482</v>
      </c>
      <c r="O18" s="485">
        <f t="shared" si="5"/>
        <v>85.303135888501743</v>
      </c>
      <c r="P18" s="500" t="s">
        <v>113</v>
      </c>
    </row>
    <row r="19" spans="1:16" ht="14.1" customHeight="1" x14ac:dyDescent="0.2">
      <c r="A19" s="92" t="s">
        <v>19</v>
      </c>
      <c r="B19" s="482">
        <v>20578</v>
      </c>
      <c r="C19" s="479">
        <v>14988</v>
      </c>
      <c r="D19" s="485">
        <f t="shared" si="0"/>
        <v>72.835066575954897</v>
      </c>
      <c r="E19" s="490">
        <v>14959</v>
      </c>
      <c r="F19" s="491">
        <f t="shared" si="1"/>
        <v>72.694139372145003</v>
      </c>
      <c r="G19" s="479">
        <v>14673</v>
      </c>
      <c r="H19" s="485">
        <f t="shared" si="2"/>
        <v>71.304305569054335</v>
      </c>
      <c r="I19" s="490">
        <v>14872</v>
      </c>
      <c r="J19" s="491">
        <f t="shared" si="3"/>
        <v>72.271357760715333</v>
      </c>
      <c r="K19" s="479">
        <v>14754</v>
      </c>
      <c r="L19" s="485">
        <f t="shared" si="4"/>
        <v>71.69792982797162</v>
      </c>
      <c r="M19" s="482">
        <v>20338</v>
      </c>
      <c r="N19" s="479">
        <v>16636</v>
      </c>
      <c r="O19" s="485">
        <f t="shared" si="5"/>
        <v>81.797620218310556</v>
      </c>
      <c r="P19" s="500" t="s">
        <v>113</v>
      </c>
    </row>
    <row r="20" spans="1:16" ht="14.1" customHeight="1" x14ac:dyDescent="0.2">
      <c r="A20" s="92" t="s">
        <v>119</v>
      </c>
      <c r="B20" s="482">
        <v>12200</v>
      </c>
      <c r="C20" s="479">
        <v>10236</v>
      </c>
      <c r="D20" s="485">
        <f t="shared" si="0"/>
        <v>83.901639344262293</v>
      </c>
      <c r="E20" s="490">
        <v>10326</v>
      </c>
      <c r="F20" s="491">
        <f t="shared" si="1"/>
        <v>84.639344262295083</v>
      </c>
      <c r="G20" s="479">
        <v>10825</v>
      </c>
      <c r="H20" s="485">
        <f t="shared" si="2"/>
        <v>88.729508196721312</v>
      </c>
      <c r="I20" s="490">
        <v>10409</v>
      </c>
      <c r="J20" s="491">
        <f t="shared" si="3"/>
        <v>85.319672131147541</v>
      </c>
      <c r="K20" s="479">
        <v>10314</v>
      </c>
      <c r="L20" s="485">
        <f t="shared" si="4"/>
        <v>84.540983606557376</v>
      </c>
      <c r="M20" s="482">
        <v>11908</v>
      </c>
      <c r="N20" s="479">
        <v>10250</v>
      </c>
      <c r="O20" s="485">
        <f t="shared" si="5"/>
        <v>86.076587168290231</v>
      </c>
      <c r="P20" s="500" t="s">
        <v>113</v>
      </c>
    </row>
    <row r="21" spans="1:16" ht="14.1" customHeight="1" x14ac:dyDescent="0.2">
      <c r="A21" s="92" t="s">
        <v>45</v>
      </c>
      <c r="B21" s="482">
        <v>20976</v>
      </c>
      <c r="C21" s="479">
        <v>19603</v>
      </c>
      <c r="D21" s="485">
        <f t="shared" si="0"/>
        <v>93.454424103737608</v>
      </c>
      <c r="E21" s="490">
        <v>18039</v>
      </c>
      <c r="F21" s="491">
        <f t="shared" si="1"/>
        <v>85.998283752860416</v>
      </c>
      <c r="G21" s="479">
        <v>22118</v>
      </c>
      <c r="H21" s="485">
        <f t="shared" si="2"/>
        <v>105.44431731502669</v>
      </c>
      <c r="I21" s="490">
        <v>16955</v>
      </c>
      <c r="J21" s="491">
        <f t="shared" si="3"/>
        <v>80.830472921434023</v>
      </c>
      <c r="K21" s="479">
        <v>16957</v>
      </c>
      <c r="L21" s="485">
        <f t="shared" si="4"/>
        <v>80.840007627765061</v>
      </c>
      <c r="M21" s="482">
        <v>20516</v>
      </c>
      <c r="N21" s="479">
        <v>19771</v>
      </c>
      <c r="O21" s="485">
        <f t="shared" si="5"/>
        <v>96.368687853382724</v>
      </c>
      <c r="P21" s="500" t="s">
        <v>113</v>
      </c>
    </row>
    <row r="22" spans="1:16" ht="14.1" customHeight="1" x14ac:dyDescent="0.2">
      <c r="A22" s="92" t="s">
        <v>21</v>
      </c>
      <c r="B22" s="482">
        <v>7483</v>
      </c>
      <c r="C22" s="479">
        <v>7573</v>
      </c>
      <c r="D22" s="485">
        <f t="shared" si="0"/>
        <v>101.20272617933983</v>
      </c>
      <c r="E22" s="490">
        <v>7491</v>
      </c>
      <c r="F22" s="491">
        <f t="shared" si="1"/>
        <v>100.1069089937191</v>
      </c>
      <c r="G22" s="479">
        <v>6606</v>
      </c>
      <c r="H22" s="485">
        <f t="shared" si="2"/>
        <v>88.280101563544036</v>
      </c>
      <c r="I22" s="490">
        <v>7498</v>
      </c>
      <c r="J22" s="491">
        <f t="shared" si="3"/>
        <v>100.2004543632233</v>
      </c>
      <c r="K22" s="479">
        <v>7485</v>
      </c>
      <c r="L22" s="485">
        <f t="shared" si="4"/>
        <v>100.02672724842978</v>
      </c>
      <c r="M22" s="482">
        <v>7457</v>
      </c>
      <c r="N22" s="479">
        <v>6578</v>
      </c>
      <c r="O22" s="485">
        <f t="shared" si="5"/>
        <v>88.212417862411158</v>
      </c>
      <c r="P22" s="500" t="s">
        <v>113</v>
      </c>
    </row>
    <row r="23" spans="1:16" ht="14.1" customHeight="1" x14ac:dyDescent="0.2">
      <c r="A23" s="92" t="s">
        <v>18</v>
      </c>
      <c r="B23" s="482">
        <v>29871</v>
      </c>
      <c r="C23" s="479">
        <v>21154</v>
      </c>
      <c r="D23" s="485">
        <f t="shared" si="0"/>
        <v>70.817850088714806</v>
      </c>
      <c r="E23" s="490">
        <v>22735</v>
      </c>
      <c r="F23" s="491">
        <f t="shared" si="1"/>
        <v>76.11060895182618</v>
      </c>
      <c r="G23" s="479">
        <v>21744</v>
      </c>
      <c r="H23" s="485">
        <f t="shared" si="2"/>
        <v>72.793009942753841</v>
      </c>
      <c r="I23" s="490">
        <v>22707</v>
      </c>
      <c r="J23" s="491">
        <f t="shared" si="3"/>
        <v>76.016872551973492</v>
      </c>
      <c r="K23" s="479">
        <v>22757</v>
      </c>
      <c r="L23" s="485">
        <f t="shared" si="4"/>
        <v>76.184258980281882</v>
      </c>
      <c r="M23" s="482">
        <v>29654</v>
      </c>
      <c r="N23" s="479">
        <v>22766</v>
      </c>
      <c r="O23" s="485">
        <f t="shared" si="5"/>
        <v>76.772104943683814</v>
      </c>
      <c r="P23" s="500" t="s">
        <v>113</v>
      </c>
    </row>
    <row r="24" spans="1:16" ht="14.1" customHeight="1" x14ac:dyDescent="0.2">
      <c r="A24" s="92" t="s">
        <v>22</v>
      </c>
      <c r="B24" s="482">
        <v>23930</v>
      </c>
      <c r="C24" s="479">
        <v>24242</v>
      </c>
      <c r="D24" s="485">
        <f t="shared" si="0"/>
        <v>101.3038027580443</v>
      </c>
      <c r="E24" s="490">
        <v>24255</v>
      </c>
      <c r="F24" s="491">
        <f t="shared" si="1"/>
        <v>101.35812787296281</v>
      </c>
      <c r="G24" s="479">
        <v>25583</v>
      </c>
      <c r="H24" s="485">
        <f t="shared" si="2"/>
        <v>106.90764730463853</v>
      </c>
      <c r="I24" s="490">
        <v>24269</v>
      </c>
      <c r="J24" s="491">
        <f t="shared" si="3"/>
        <v>101.41663184287505</v>
      </c>
      <c r="K24" s="479">
        <v>24136</v>
      </c>
      <c r="L24" s="485">
        <f t="shared" si="4"/>
        <v>100.86084412870873</v>
      </c>
      <c r="M24" s="482">
        <v>23745</v>
      </c>
      <c r="N24" s="479">
        <v>23539</v>
      </c>
      <c r="O24" s="485">
        <f t="shared" si="5"/>
        <v>99.132448936618232</v>
      </c>
      <c r="P24" s="500" t="s">
        <v>113</v>
      </c>
    </row>
    <row r="25" spans="1:16" ht="14.1" customHeight="1" x14ac:dyDescent="0.2">
      <c r="A25" s="92" t="s">
        <v>120</v>
      </c>
      <c r="B25" s="482">
        <v>8452</v>
      </c>
      <c r="C25" s="479">
        <v>9530</v>
      </c>
      <c r="D25" s="485">
        <f t="shared" si="0"/>
        <v>112.75437766209181</v>
      </c>
      <c r="E25" s="490">
        <v>9321</v>
      </c>
      <c r="F25" s="491">
        <f t="shared" si="1"/>
        <v>110.28159015617605</v>
      </c>
      <c r="G25" s="479">
        <v>10039</v>
      </c>
      <c r="H25" s="485">
        <f t="shared" si="2"/>
        <v>118.77662091812589</v>
      </c>
      <c r="I25" s="490">
        <v>8162</v>
      </c>
      <c r="J25" s="491">
        <f t="shared" si="3"/>
        <v>96.568859441552291</v>
      </c>
      <c r="K25" s="479">
        <v>8180</v>
      </c>
      <c r="L25" s="485">
        <f t="shared" si="4"/>
        <v>96.781826786559392</v>
      </c>
      <c r="M25" s="482">
        <v>8418</v>
      </c>
      <c r="N25" s="479">
        <v>13101</v>
      </c>
      <c r="O25" s="485">
        <f t="shared" si="5"/>
        <v>155.63079116179614</v>
      </c>
      <c r="P25" s="500" t="s">
        <v>113</v>
      </c>
    </row>
    <row r="26" spans="1:16" ht="14.1" customHeight="1" x14ac:dyDescent="0.2">
      <c r="A26" s="92" t="s">
        <v>121</v>
      </c>
      <c r="B26" s="482">
        <v>27511</v>
      </c>
      <c r="C26" s="479">
        <v>32075</v>
      </c>
      <c r="D26" s="485">
        <f t="shared" si="0"/>
        <v>116.58972774526553</v>
      </c>
      <c r="E26" s="490">
        <v>31988</v>
      </c>
      <c r="F26" s="491">
        <f t="shared" si="1"/>
        <v>116.2734906037585</v>
      </c>
      <c r="G26" s="479">
        <v>33643</v>
      </c>
      <c r="H26" s="485">
        <f t="shared" si="2"/>
        <v>122.28926611173712</v>
      </c>
      <c r="I26" s="490">
        <v>32044</v>
      </c>
      <c r="J26" s="491">
        <f t="shared" si="3"/>
        <v>116.47704554541819</v>
      </c>
      <c r="K26" s="479">
        <v>32028</v>
      </c>
      <c r="L26" s="485">
        <f t="shared" si="4"/>
        <v>116.41888699065828</v>
      </c>
      <c r="M26" s="482">
        <v>27384</v>
      </c>
      <c r="N26" s="479">
        <v>32581</v>
      </c>
      <c r="O26" s="485">
        <f t="shared" si="5"/>
        <v>118.97823546596553</v>
      </c>
      <c r="P26" s="500" t="s">
        <v>113</v>
      </c>
    </row>
    <row r="27" spans="1:16" ht="14.1" customHeight="1" x14ac:dyDescent="0.2">
      <c r="A27" s="92" t="s">
        <v>122</v>
      </c>
      <c r="B27" s="482">
        <v>39093</v>
      </c>
      <c r="C27" s="479">
        <v>37631</v>
      </c>
      <c r="D27" s="485">
        <f t="shared" si="0"/>
        <v>96.260200035812034</v>
      </c>
      <c r="E27" s="490">
        <v>37615</v>
      </c>
      <c r="F27" s="491">
        <f t="shared" si="1"/>
        <v>96.219271992428318</v>
      </c>
      <c r="G27" s="479">
        <v>36816</v>
      </c>
      <c r="H27" s="485">
        <f t="shared" si="2"/>
        <v>94.175427825953491</v>
      </c>
      <c r="I27" s="490">
        <v>37603</v>
      </c>
      <c r="J27" s="491">
        <f t="shared" si="3"/>
        <v>96.188575959890514</v>
      </c>
      <c r="K27" s="479">
        <v>37585</v>
      </c>
      <c r="L27" s="485">
        <f t="shared" si="4"/>
        <v>96.142531911083822</v>
      </c>
      <c r="M27" s="482">
        <v>38894</v>
      </c>
      <c r="N27" s="479">
        <v>39132</v>
      </c>
      <c r="O27" s="485">
        <f t="shared" si="5"/>
        <v>100.61191957628427</v>
      </c>
      <c r="P27" s="500" t="s">
        <v>113</v>
      </c>
    </row>
    <row r="28" spans="1:16" ht="14.1" customHeight="1" x14ac:dyDescent="0.2">
      <c r="A28" s="92" t="s">
        <v>123</v>
      </c>
      <c r="B28" s="482">
        <v>1171</v>
      </c>
      <c r="C28" s="479">
        <v>464</v>
      </c>
      <c r="D28" s="485">
        <f t="shared" si="0"/>
        <v>39.624252775405637</v>
      </c>
      <c r="E28" s="490">
        <v>479</v>
      </c>
      <c r="F28" s="491">
        <f t="shared" si="1"/>
        <v>40.90520922288642</v>
      </c>
      <c r="G28" s="479">
        <v>569</v>
      </c>
      <c r="H28" s="485">
        <f t="shared" si="2"/>
        <v>48.590947907771138</v>
      </c>
      <c r="I28" s="490">
        <v>503</v>
      </c>
      <c r="J28" s="491">
        <f t="shared" si="3"/>
        <v>42.954739538855677</v>
      </c>
      <c r="K28" s="479">
        <v>478</v>
      </c>
      <c r="L28" s="485">
        <f t="shared" si="4"/>
        <v>40.819812126387703</v>
      </c>
      <c r="M28" s="482">
        <v>1167</v>
      </c>
      <c r="N28" s="479">
        <v>561</v>
      </c>
      <c r="O28" s="485">
        <f t="shared" si="5"/>
        <v>48.0719794344473</v>
      </c>
      <c r="P28" s="500" t="s">
        <v>113</v>
      </c>
    </row>
    <row r="29" spans="1:16" ht="14.1" customHeight="1" x14ac:dyDescent="0.2">
      <c r="A29" s="92" t="s">
        <v>26</v>
      </c>
      <c r="B29" s="482">
        <v>3301</v>
      </c>
      <c r="C29" s="479">
        <v>2276</v>
      </c>
      <c r="D29" s="485">
        <f t="shared" si="0"/>
        <v>68.948803392911245</v>
      </c>
      <c r="E29" s="490">
        <v>2297</v>
      </c>
      <c r="F29" s="491">
        <f t="shared" si="1"/>
        <v>69.584974250227205</v>
      </c>
      <c r="G29" s="479">
        <v>2282</v>
      </c>
      <c r="H29" s="485">
        <f t="shared" si="2"/>
        <v>69.130566495001517</v>
      </c>
      <c r="I29" s="490">
        <v>2297</v>
      </c>
      <c r="J29" s="491">
        <f t="shared" si="3"/>
        <v>69.584974250227205</v>
      </c>
      <c r="K29" s="479">
        <v>2297</v>
      </c>
      <c r="L29" s="485">
        <f t="shared" si="4"/>
        <v>69.584974250227205</v>
      </c>
      <c r="M29" s="482">
        <v>3269</v>
      </c>
      <c r="N29" s="479">
        <v>2441</v>
      </c>
      <c r="O29" s="485">
        <f t="shared" si="5"/>
        <v>74.671153257877023</v>
      </c>
      <c r="P29" s="500" t="s">
        <v>113</v>
      </c>
    </row>
    <row r="30" spans="1:16" ht="14.1" customHeight="1" x14ac:dyDescent="0.2">
      <c r="A30" s="92" t="s">
        <v>27</v>
      </c>
      <c r="B30" s="482">
        <v>20509</v>
      </c>
      <c r="C30" s="479">
        <v>21498</v>
      </c>
      <c r="D30" s="485">
        <f t="shared" si="0"/>
        <v>104.82227314837388</v>
      </c>
      <c r="E30" s="490">
        <v>21651</v>
      </c>
      <c r="F30" s="491">
        <f t="shared" si="1"/>
        <v>105.56828709347116</v>
      </c>
      <c r="G30" s="479">
        <v>22086</v>
      </c>
      <c r="H30" s="485">
        <f t="shared" si="2"/>
        <v>107.68930713345361</v>
      </c>
      <c r="I30" s="490">
        <v>21597</v>
      </c>
      <c r="J30" s="491">
        <f t="shared" si="3"/>
        <v>105.30498805402506</v>
      </c>
      <c r="K30" s="479">
        <v>21623</v>
      </c>
      <c r="L30" s="485">
        <f t="shared" si="4"/>
        <v>105.43176166561022</v>
      </c>
      <c r="M30" s="482">
        <v>20362</v>
      </c>
      <c r="N30" s="479">
        <v>21331</v>
      </c>
      <c r="O30" s="485">
        <f t="shared" si="5"/>
        <v>104.75886455161576</v>
      </c>
      <c r="P30" s="500" t="s">
        <v>113</v>
      </c>
    </row>
    <row r="31" spans="1:16" ht="14.1" customHeight="1" x14ac:dyDescent="0.2">
      <c r="A31" s="92" t="s">
        <v>124</v>
      </c>
      <c r="B31" s="482">
        <v>11644</v>
      </c>
      <c r="C31" s="479">
        <v>12615</v>
      </c>
      <c r="D31" s="485">
        <f t="shared" si="0"/>
        <v>108.3390587427001</v>
      </c>
      <c r="E31" s="490">
        <v>12841</v>
      </c>
      <c r="F31" s="491">
        <f t="shared" si="1"/>
        <v>110.27997251803504</v>
      </c>
      <c r="G31" s="479">
        <v>12213</v>
      </c>
      <c r="H31" s="485">
        <f t="shared" si="2"/>
        <v>104.88663689453796</v>
      </c>
      <c r="I31" s="490">
        <v>12873</v>
      </c>
      <c r="J31" s="491">
        <f t="shared" si="3"/>
        <v>110.55479216763999</v>
      </c>
      <c r="K31" s="479">
        <v>12752</v>
      </c>
      <c r="L31" s="485">
        <f t="shared" si="4"/>
        <v>109.51563036757128</v>
      </c>
      <c r="M31" s="482">
        <v>11601</v>
      </c>
      <c r="N31" s="479">
        <v>12504</v>
      </c>
      <c r="O31" s="485">
        <f t="shared" si="5"/>
        <v>107.78381174036721</v>
      </c>
      <c r="P31" s="500" t="s">
        <v>113</v>
      </c>
    </row>
    <row r="32" spans="1:16" ht="14.1" customHeight="1" x14ac:dyDescent="0.2">
      <c r="A32" s="92" t="s">
        <v>28</v>
      </c>
      <c r="B32" s="482">
        <v>21494</v>
      </c>
      <c r="C32" s="479">
        <v>22068</v>
      </c>
      <c r="D32" s="485">
        <f t="shared" si="0"/>
        <v>102.67051270121894</v>
      </c>
      <c r="E32" s="490">
        <v>22052</v>
      </c>
      <c r="F32" s="491">
        <f t="shared" si="1"/>
        <v>102.59607332278776</v>
      </c>
      <c r="G32" s="479">
        <v>22884</v>
      </c>
      <c r="H32" s="485">
        <f t="shared" si="2"/>
        <v>106.46692100120964</v>
      </c>
      <c r="I32" s="490">
        <v>22028</v>
      </c>
      <c r="J32" s="491">
        <f t="shared" si="3"/>
        <v>102.48441425514098</v>
      </c>
      <c r="K32" s="479">
        <v>22026</v>
      </c>
      <c r="L32" s="485">
        <f t="shared" si="4"/>
        <v>102.47510933283706</v>
      </c>
      <c r="M32" s="482">
        <v>21403</v>
      </c>
      <c r="N32" s="479">
        <v>21146</v>
      </c>
      <c r="O32" s="485">
        <f t="shared" si="5"/>
        <v>98.799233752277715</v>
      </c>
      <c r="P32" s="500" t="s">
        <v>113</v>
      </c>
    </row>
    <row r="33" spans="1:16" ht="14.1" customHeight="1" x14ac:dyDescent="0.2">
      <c r="A33" s="92" t="s">
        <v>127</v>
      </c>
      <c r="B33" s="482">
        <v>8400</v>
      </c>
      <c r="C33" s="479">
        <v>7912</v>
      </c>
      <c r="D33" s="485">
        <f t="shared" ref="D33:D46" si="6">(C33*100)/B33</f>
        <v>94.19047619047619</v>
      </c>
      <c r="E33" s="490">
        <v>7936</v>
      </c>
      <c r="F33" s="491">
        <f t="shared" ref="F33:F46" si="7">(E33*100)/B33</f>
        <v>94.476190476190482</v>
      </c>
      <c r="G33" s="479">
        <v>9400</v>
      </c>
      <c r="H33" s="485">
        <f t="shared" ref="H33:H46" si="8">(G33*100)/B33</f>
        <v>111.9047619047619</v>
      </c>
      <c r="I33" s="490">
        <v>7936</v>
      </c>
      <c r="J33" s="491">
        <f t="shared" ref="J33:J46" si="9">(I33*100)/B33</f>
        <v>94.476190476190482</v>
      </c>
      <c r="K33" s="479">
        <v>7936</v>
      </c>
      <c r="L33" s="485">
        <f t="shared" ref="L33:L46" si="10">(K33*100)/B33</f>
        <v>94.476190476190482</v>
      </c>
      <c r="M33" s="482">
        <v>8318</v>
      </c>
      <c r="N33" s="479">
        <v>7807</v>
      </c>
      <c r="O33" s="485">
        <f t="shared" ref="O33:O46" si="11">(N33*100)/M33</f>
        <v>93.85669632123107</v>
      </c>
      <c r="P33" s="500" t="s">
        <v>113</v>
      </c>
    </row>
    <row r="34" spans="1:16" ht="14.1" customHeight="1" x14ac:dyDescent="0.2">
      <c r="A34" s="92" t="s">
        <v>29</v>
      </c>
      <c r="B34" s="482">
        <v>16977</v>
      </c>
      <c r="C34" s="479">
        <v>16176</v>
      </c>
      <c r="D34" s="485">
        <f t="shared" si="6"/>
        <v>95.281851917299875</v>
      </c>
      <c r="E34" s="490">
        <v>16339</v>
      </c>
      <c r="F34" s="491">
        <f t="shared" si="7"/>
        <v>96.241974436001655</v>
      </c>
      <c r="G34" s="479">
        <v>16450</v>
      </c>
      <c r="H34" s="485">
        <f t="shared" si="8"/>
        <v>96.895800200270955</v>
      </c>
      <c r="I34" s="490">
        <v>16339</v>
      </c>
      <c r="J34" s="491">
        <f t="shared" si="9"/>
        <v>96.241974436001655</v>
      </c>
      <c r="K34" s="479">
        <v>16339</v>
      </c>
      <c r="L34" s="485">
        <f t="shared" si="10"/>
        <v>96.241974436001655</v>
      </c>
      <c r="M34" s="482">
        <v>16890</v>
      </c>
      <c r="N34" s="479">
        <v>17464</v>
      </c>
      <c r="O34" s="485">
        <f t="shared" si="11"/>
        <v>103.3984606275903</v>
      </c>
      <c r="P34" s="500" t="s">
        <v>113</v>
      </c>
    </row>
    <row r="35" spans="1:16" ht="14.1" customHeight="1" x14ac:dyDescent="0.2">
      <c r="A35" s="92" t="s">
        <v>30</v>
      </c>
      <c r="B35" s="482">
        <v>36887</v>
      </c>
      <c r="C35" s="479">
        <v>25728</v>
      </c>
      <c r="D35" s="485">
        <f t="shared" si="6"/>
        <v>69.748149754656112</v>
      </c>
      <c r="E35" s="490">
        <v>25679</v>
      </c>
      <c r="F35" s="491">
        <f t="shared" si="7"/>
        <v>69.615311627402605</v>
      </c>
      <c r="G35" s="479">
        <v>27529</v>
      </c>
      <c r="H35" s="485">
        <f t="shared" si="8"/>
        <v>74.630628676769589</v>
      </c>
      <c r="I35" s="490">
        <v>25676</v>
      </c>
      <c r="J35" s="491">
        <f t="shared" si="9"/>
        <v>69.607178680836071</v>
      </c>
      <c r="K35" s="479">
        <v>25669</v>
      </c>
      <c r="L35" s="485">
        <f t="shared" si="10"/>
        <v>69.588201805514132</v>
      </c>
      <c r="M35" s="482">
        <v>36822</v>
      </c>
      <c r="N35" s="479">
        <v>28731</v>
      </c>
      <c r="O35" s="485">
        <f t="shared" si="11"/>
        <v>78.026723154635818</v>
      </c>
      <c r="P35" s="500" t="s">
        <v>113</v>
      </c>
    </row>
    <row r="36" spans="1:16" ht="14.1" customHeight="1" x14ac:dyDescent="0.2">
      <c r="A36" s="92" t="s">
        <v>125</v>
      </c>
      <c r="B36" s="482">
        <v>33104</v>
      </c>
      <c r="C36" s="479">
        <v>27753</v>
      </c>
      <c r="D36" s="485">
        <f t="shared" si="6"/>
        <v>83.835790236829382</v>
      </c>
      <c r="E36" s="490">
        <v>28162</v>
      </c>
      <c r="F36" s="491">
        <f t="shared" si="7"/>
        <v>85.071290478492031</v>
      </c>
      <c r="G36" s="479">
        <v>24019</v>
      </c>
      <c r="H36" s="485">
        <f t="shared" si="8"/>
        <v>72.556186563557276</v>
      </c>
      <c r="I36" s="490">
        <v>28147</v>
      </c>
      <c r="J36" s="491">
        <f t="shared" si="9"/>
        <v>85.025978733687765</v>
      </c>
      <c r="K36" s="479">
        <v>28128</v>
      </c>
      <c r="L36" s="485">
        <f t="shared" si="10"/>
        <v>84.968583856935723</v>
      </c>
      <c r="M36" s="482">
        <v>32912</v>
      </c>
      <c r="N36" s="479">
        <v>27978</v>
      </c>
      <c r="O36" s="485">
        <f t="shared" si="11"/>
        <v>85.008507535245499</v>
      </c>
      <c r="P36" s="500" t="s">
        <v>113</v>
      </c>
    </row>
    <row r="37" spans="1:16" ht="14.1" customHeight="1" x14ac:dyDescent="0.2">
      <c r="A37" s="92" t="s">
        <v>31</v>
      </c>
      <c r="B37" s="482">
        <v>10042</v>
      </c>
      <c r="C37" s="479">
        <v>9342</v>
      </c>
      <c r="D37" s="485">
        <f t="shared" si="6"/>
        <v>93.029277036446928</v>
      </c>
      <c r="E37" s="490">
        <v>9337</v>
      </c>
      <c r="F37" s="491">
        <f t="shared" si="7"/>
        <v>92.979486158135828</v>
      </c>
      <c r="G37" s="479">
        <v>7905</v>
      </c>
      <c r="H37" s="485">
        <f t="shared" si="8"/>
        <v>78.719378609838671</v>
      </c>
      <c r="I37" s="490">
        <v>9332</v>
      </c>
      <c r="J37" s="491">
        <f t="shared" si="9"/>
        <v>92.929695279824742</v>
      </c>
      <c r="K37" s="479">
        <v>9329</v>
      </c>
      <c r="L37" s="485">
        <f t="shared" si="10"/>
        <v>92.899820752838082</v>
      </c>
      <c r="M37" s="482">
        <v>9891</v>
      </c>
      <c r="N37" s="479">
        <v>9119</v>
      </c>
      <c r="O37" s="485">
        <f t="shared" si="11"/>
        <v>92.194924679001119</v>
      </c>
      <c r="P37" s="500" t="s">
        <v>113</v>
      </c>
    </row>
    <row r="38" spans="1:16" ht="14.1" customHeight="1" x14ac:dyDescent="0.2">
      <c r="A38" s="92" t="s">
        <v>32</v>
      </c>
      <c r="B38" s="482">
        <v>10444</v>
      </c>
      <c r="C38" s="479">
        <v>10173</v>
      </c>
      <c r="D38" s="485">
        <f t="shared" si="6"/>
        <v>97.405208732286482</v>
      </c>
      <c r="E38" s="490">
        <v>10153</v>
      </c>
      <c r="F38" s="491">
        <f t="shared" si="7"/>
        <v>97.21371122175411</v>
      </c>
      <c r="G38" s="479">
        <v>8563</v>
      </c>
      <c r="H38" s="485">
        <f t="shared" si="8"/>
        <v>81.98965913443125</v>
      </c>
      <c r="I38" s="490">
        <v>10182</v>
      </c>
      <c r="J38" s="491">
        <f t="shared" si="9"/>
        <v>97.491382612026044</v>
      </c>
      <c r="K38" s="479">
        <v>10148</v>
      </c>
      <c r="L38" s="485">
        <f t="shared" si="10"/>
        <v>97.165836844121031</v>
      </c>
      <c r="M38" s="482">
        <v>10391</v>
      </c>
      <c r="N38" s="479">
        <v>10914</v>
      </c>
      <c r="O38" s="485">
        <f t="shared" si="11"/>
        <v>105.03320180925802</v>
      </c>
      <c r="P38" s="500" t="s">
        <v>113</v>
      </c>
    </row>
    <row r="39" spans="1:16" ht="14.1" customHeight="1" x14ac:dyDescent="0.2">
      <c r="A39" s="92" t="s">
        <v>33</v>
      </c>
      <c r="B39" s="482">
        <v>18071</v>
      </c>
      <c r="C39" s="479">
        <v>14235</v>
      </c>
      <c r="D39" s="485">
        <f t="shared" si="6"/>
        <v>78.772619113496759</v>
      </c>
      <c r="E39" s="490">
        <v>14106</v>
      </c>
      <c r="F39" s="491">
        <f t="shared" si="7"/>
        <v>78.058768192131041</v>
      </c>
      <c r="G39" s="479">
        <v>14222</v>
      </c>
      <c r="H39" s="485">
        <f t="shared" si="8"/>
        <v>78.700680648552932</v>
      </c>
      <c r="I39" s="490">
        <v>14104</v>
      </c>
      <c r="J39" s="491">
        <f t="shared" si="9"/>
        <v>78.047700735985828</v>
      </c>
      <c r="K39" s="479">
        <v>14106</v>
      </c>
      <c r="L39" s="485">
        <f t="shared" si="10"/>
        <v>78.058768192131041</v>
      </c>
      <c r="M39" s="482">
        <v>17968</v>
      </c>
      <c r="N39" s="479">
        <v>14827</v>
      </c>
      <c r="O39" s="485">
        <f t="shared" si="11"/>
        <v>82.518922528940337</v>
      </c>
      <c r="P39" s="500" t="s">
        <v>113</v>
      </c>
    </row>
    <row r="40" spans="1:16" ht="14.1" customHeight="1" x14ac:dyDescent="0.2">
      <c r="A40" s="92" t="s">
        <v>126</v>
      </c>
      <c r="B40" s="482">
        <v>1499</v>
      </c>
      <c r="C40" s="479">
        <v>1001</v>
      </c>
      <c r="D40" s="485">
        <f t="shared" si="6"/>
        <v>66.77785190126751</v>
      </c>
      <c r="E40" s="490">
        <v>993</v>
      </c>
      <c r="F40" s="491">
        <f t="shared" si="7"/>
        <v>66.244162775183455</v>
      </c>
      <c r="G40" s="479">
        <v>900</v>
      </c>
      <c r="H40" s="485">
        <f t="shared" si="8"/>
        <v>60.040026684456308</v>
      </c>
      <c r="I40" s="490">
        <v>989</v>
      </c>
      <c r="J40" s="491">
        <f t="shared" si="9"/>
        <v>65.977318212141427</v>
      </c>
      <c r="K40" s="479">
        <v>988</v>
      </c>
      <c r="L40" s="485">
        <f t="shared" si="10"/>
        <v>65.910607071380923</v>
      </c>
      <c r="M40" s="482">
        <v>1476</v>
      </c>
      <c r="N40" s="479">
        <v>992</v>
      </c>
      <c r="O40" s="485">
        <f t="shared" si="11"/>
        <v>67.208672086720867</v>
      </c>
      <c r="P40" s="500" t="s">
        <v>113</v>
      </c>
    </row>
    <row r="41" spans="1:16" ht="14.1" customHeight="1" x14ac:dyDescent="0.2">
      <c r="A41" s="92" t="s">
        <v>35</v>
      </c>
      <c r="B41" s="482">
        <v>42081</v>
      </c>
      <c r="C41" s="479">
        <v>31226</v>
      </c>
      <c r="D41" s="485">
        <f t="shared" si="6"/>
        <v>74.204510349088665</v>
      </c>
      <c r="E41" s="490">
        <v>31387</v>
      </c>
      <c r="F41" s="491">
        <f t="shared" si="7"/>
        <v>74.58710581972862</v>
      </c>
      <c r="G41" s="479">
        <v>32250</v>
      </c>
      <c r="H41" s="485">
        <f t="shared" si="8"/>
        <v>76.637912597134104</v>
      </c>
      <c r="I41" s="490">
        <v>31268</v>
      </c>
      <c r="J41" s="491">
        <f t="shared" si="9"/>
        <v>74.304317863168649</v>
      </c>
      <c r="K41" s="479">
        <v>31407</v>
      </c>
      <c r="L41" s="485">
        <f t="shared" si="10"/>
        <v>74.634633207385761</v>
      </c>
      <c r="M41" s="482">
        <v>41503</v>
      </c>
      <c r="N41" s="479">
        <v>31872</v>
      </c>
      <c r="O41" s="485">
        <f t="shared" si="11"/>
        <v>76.794448594077537</v>
      </c>
      <c r="P41" s="500" t="s">
        <v>113</v>
      </c>
    </row>
    <row r="42" spans="1:16" ht="14.1" customHeight="1" x14ac:dyDescent="0.2">
      <c r="A42" s="92" t="s">
        <v>36</v>
      </c>
      <c r="B42" s="482">
        <v>18709</v>
      </c>
      <c r="C42" s="479">
        <v>17751</v>
      </c>
      <c r="D42" s="485">
        <f t="shared" si="6"/>
        <v>94.879469773905612</v>
      </c>
      <c r="E42" s="490">
        <v>17411</v>
      </c>
      <c r="F42" s="491">
        <f t="shared" si="7"/>
        <v>93.062162595542247</v>
      </c>
      <c r="G42" s="479">
        <v>17606</v>
      </c>
      <c r="H42" s="485">
        <f t="shared" si="8"/>
        <v>94.104441712544769</v>
      </c>
      <c r="I42" s="490">
        <v>17556</v>
      </c>
      <c r="J42" s="491">
        <f t="shared" si="9"/>
        <v>93.83719065690309</v>
      </c>
      <c r="K42" s="479">
        <v>17443</v>
      </c>
      <c r="L42" s="485">
        <f t="shared" si="10"/>
        <v>93.233203271152917</v>
      </c>
      <c r="M42" s="482">
        <v>18635</v>
      </c>
      <c r="N42" s="479">
        <v>17392</v>
      </c>
      <c r="O42" s="485">
        <f t="shared" si="11"/>
        <v>93.329755835792866</v>
      </c>
      <c r="P42" s="500" t="s">
        <v>113</v>
      </c>
    </row>
    <row r="43" spans="1:16" ht="14.1" customHeight="1" x14ac:dyDescent="0.2">
      <c r="A43" s="92" t="s">
        <v>37</v>
      </c>
      <c r="B43" s="482">
        <v>23905</v>
      </c>
      <c r="C43" s="479">
        <v>25116</v>
      </c>
      <c r="D43" s="485">
        <f t="shared" si="6"/>
        <v>105.06588579795022</v>
      </c>
      <c r="E43" s="490">
        <v>26008</v>
      </c>
      <c r="F43" s="491">
        <f t="shared" si="7"/>
        <v>108.79732273582933</v>
      </c>
      <c r="G43" s="479">
        <v>27174</v>
      </c>
      <c r="H43" s="485">
        <f t="shared" si="8"/>
        <v>113.67496339677892</v>
      </c>
      <c r="I43" s="490">
        <v>26268</v>
      </c>
      <c r="J43" s="491">
        <f t="shared" si="9"/>
        <v>109.88496130516629</v>
      </c>
      <c r="K43" s="479">
        <v>25610</v>
      </c>
      <c r="L43" s="485">
        <f t="shared" si="10"/>
        <v>107.13239907969044</v>
      </c>
      <c r="M43" s="482">
        <v>23777</v>
      </c>
      <c r="N43" s="479">
        <v>26557</v>
      </c>
      <c r="O43" s="485">
        <f t="shared" si="11"/>
        <v>111.69197123270388</v>
      </c>
      <c r="P43" s="500" t="s">
        <v>113</v>
      </c>
    </row>
    <row r="44" spans="1:16" ht="14.1" customHeight="1" x14ac:dyDescent="0.2">
      <c r="A44" s="92" t="s">
        <v>38</v>
      </c>
      <c r="B44" s="482">
        <v>79336</v>
      </c>
      <c r="C44" s="479">
        <v>79620</v>
      </c>
      <c r="D44" s="485">
        <f t="shared" si="6"/>
        <v>100.35797116063326</v>
      </c>
      <c r="E44" s="490">
        <v>76637</v>
      </c>
      <c r="F44" s="491">
        <f t="shared" si="7"/>
        <v>96.598013512150857</v>
      </c>
      <c r="G44" s="479">
        <v>69227</v>
      </c>
      <c r="H44" s="485">
        <f t="shared" si="8"/>
        <v>87.257991328022584</v>
      </c>
      <c r="I44" s="490">
        <v>78728</v>
      </c>
      <c r="J44" s="491">
        <f t="shared" si="9"/>
        <v>99.233639205404856</v>
      </c>
      <c r="K44" s="479">
        <v>76281</v>
      </c>
      <c r="L44" s="485">
        <f t="shared" si="10"/>
        <v>96.149289099526072</v>
      </c>
      <c r="M44" s="482">
        <v>78166</v>
      </c>
      <c r="N44" s="479">
        <v>76516</v>
      </c>
      <c r="O44" s="485">
        <f t="shared" si="11"/>
        <v>97.889107796228544</v>
      </c>
      <c r="P44" s="500" t="s">
        <v>113</v>
      </c>
    </row>
    <row r="45" spans="1:16" ht="14.1" customHeight="1" x14ac:dyDescent="0.2">
      <c r="A45" s="92" t="s">
        <v>128</v>
      </c>
      <c r="B45" s="482">
        <v>859</v>
      </c>
      <c r="C45" s="479">
        <v>468</v>
      </c>
      <c r="D45" s="485">
        <f t="shared" si="6"/>
        <v>54.481955762514552</v>
      </c>
      <c r="E45" s="490">
        <v>521</v>
      </c>
      <c r="F45" s="491">
        <f t="shared" si="7"/>
        <v>60.651920838183933</v>
      </c>
      <c r="G45" s="479">
        <v>630</v>
      </c>
      <c r="H45" s="485">
        <f t="shared" si="8"/>
        <v>73.34109429569267</v>
      </c>
      <c r="I45" s="490">
        <v>291</v>
      </c>
      <c r="J45" s="491">
        <f t="shared" si="9"/>
        <v>33.876600698486612</v>
      </c>
      <c r="K45" s="479">
        <v>447</v>
      </c>
      <c r="L45" s="485">
        <f t="shared" si="10"/>
        <v>52.037252619324796</v>
      </c>
      <c r="M45" s="482">
        <v>857</v>
      </c>
      <c r="N45" s="479">
        <v>450</v>
      </c>
      <c r="O45" s="485">
        <f t="shared" si="11"/>
        <v>52.508751458576427</v>
      </c>
      <c r="P45" s="500" t="s">
        <v>113</v>
      </c>
    </row>
    <row r="46" spans="1:16" ht="14.1" customHeight="1" thickBot="1" x14ac:dyDescent="0.25">
      <c r="A46" s="93" t="s">
        <v>40</v>
      </c>
      <c r="B46" s="483">
        <v>2747</v>
      </c>
      <c r="C46" s="480">
        <v>1401</v>
      </c>
      <c r="D46" s="486">
        <f t="shared" si="6"/>
        <v>51.001092100473244</v>
      </c>
      <c r="E46" s="492">
        <v>1398</v>
      </c>
      <c r="F46" s="493">
        <f t="shared" si="7"/>
        <v>50.89188205314889</v>
      </c>
      <c r="G46" s="480">
        <v>1526</v>
      </c>
      <c r="H46" s="486">
        <f t="shared" si="8"/>
        <v>55.551510738987986</v>
      </c>
      <c r="I46" s="492">
        <v>1398</v>
      </c>
      <c r="J46" s="493">
        <f t="shared" si="9"/>
        <v>50.89188205314889</v>
      </c>
      <c r="K46" s="480">
        <v>1254</v>
      </c>
      <c r="L46" s="486">
        <f t="shared" si="10"/>
        <v>45.649799781579908</v>
      </c>
      <c r="M46" s="496">
        <v>2742</v>
      </c>
      <c r="N46" s="480">
        <v>1518</v>
      </c>
      <c r="O46" s="486">
        <f t="shared" si="11"/>
        <v>55.36105032822757</v>
      </c>
      <c r="P46" s="501" t="s">
        <v>113</v>
      </c>
    </row>
    <row r="47" spans="1:16" ht="20.25" customHeight="1" thickBot="1" x14ac:dyDescent="0.25">
      <c r="A47" s="94" t="s">
        <v>41</v>
      </c>
      <c r="B47" s="95">
        <f>SUM(B11:B46)</f>
        <v>900777</v>
      </c>
      <c r="C47" s="96">
        <f>SUM(C11:C46)</f>
        <v>801766</v>
      </c>
      <c r="D47" s="487">
        <f>(C47/B47)*100</f>
        <v>89.008267307002725</v>
      </c>
      <c r="E47" s="494">
        <f>SUM(E11:E46)</f>
        <v>802164</v>
      </c>
      <c r="F47" s="495">
        <f>(E47/B47)*100</f>
        <v>89.052451383638783</v>
      </c>
      <c r="G47" s="95">
        <f>SUM(G11:G46)</f>
        <v>827100</v>
      </c>
      <c r="H47" s="487">
        <f>(G47/B47)*100</f>
        <v>91.820728104736247</v>
      </c>
      <c r="I47" s="494">
        <f>SUM(I11:I46)</f>
        <v>801693</v>
      </c>
      <c r="J47" s="495">
        <f>(I47/B47)*100</f>
        <v>89.000163192443864</v>
      </c>
      <c r="K47" s="95">
        <f>SUM(K11:K46)</f>
        <v>798187</v>
      </c>
      <c r="L47" s="487">
        <f>(K47/B47)*100</f>
        <v>88.610943663081983</v>
      </c>
      <c r="M47" s="497">
        <f>SUM(M11:M46)</f>
        <v>891481</v>
      </c>
      <c r="N47" s="95">
        <f>SUM(N11:N46)</f>
        <v>816207</v>
      </c>
      <c r="O47" s="97">
        <f>(N47/M47)*100</f>
        <v>91.556297890813156</v>
      </c>
      <c r="P47" s="498"/>
    </row>
    <row r="48" spans="1:16" ht="13.5" thickBot="1" x14ac:dyDescent="0.25">
      <c r="A48" s="36" t="s">
        <v>101</v>
      </c>
      <c r="B48" s="98"/>
      <c r="C48" s="99"/>
      <c r="D48" s="99"/>
      <c r="E48" s="99"/>
      <c r="F48" s="100"/>
      <c r="G48" s="101"/>
      <c r="H48" s="101"/>
      <c r="I48" s="101"/>
      <c r="J48" s="101"/>
      <c r="K48" s="101"/>
      <c r="L48" s="101"/>
      <c r="M48" s="101"/>
      <c r="N48" s="101"/>
      <c r="O48" s="101"/>
      <c r="P48" s="102"/>
    </row>
    <row r="49" spans="1:16" x14ac:dyDescent="0.2">
      <c r="A49" s="186" t="s">
        <v>129</v>
      </c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2"/>
    </row>
  </sheetData>
  <mergeCells count="5">
    <mergeCell ref="A8:P8"/>
    <mergeCell ref="A9:A10"/>
    <mergeCell ref="B9:B10"/>
    <mergeCell ref="M9:M10"/>
    <mergeCell ref="P9:P10"/>
  </mergeCells>
  <phoneticPr fontId="11" type="noConversion"/>
  <printOptions horizontalCentered="1"/>
  <pageMargins left="0.23622047244094491" right="0.27559055118110237" top="0.9055118110236221" bottom="0.39370078740157483" header="0" footer="0"/>
  <pageSetup scale="85" orientation="landscape" horizontalDpi="4294967295" verticalDpi="4294967295" r:id="rId1"/>
  <headerFooter alignWithMargins="0">
    <oddHeader>&amp;L   &amp;G&amp;C&amp;"Arial,Negrita"Ministerio de la Protección Social
República de Colombia
Dirección General de Salud Pública
Programa Ampliado de Inmunizaciones - PAI&amp;R&amp;G</oddHeader>
    <oddFooter>&amp;L             &amp;P&amp;C&amp;F&amp;R&amp;D            .</oddFooter>
  </headerFooter>
  <drawing r:id="rId2"/>
  <legacyDrawingHF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7"/>
  </sheetPr>
  <dimension ref="A5:P48"/>
  <sheetViews>
    <sheetView zoomScale="90" zoomScaleNormal="90" workbookViewId="0">
      <pane xSplit="2" ySplit="10" topLeftCell="C11" activePane="bottomRight" state="frozen"/>
      <selection activeCell="A4" sqref="A4"/>
      <selection pane="topRight" activeCell="A4" sqref="A4"/>
      <selection pane="bottomLeft" activeCell="A4" sqref="A4"/>
      <selection pane="bottomRight" activeCell="C11" sqref="C11"/>
    </sheetView>
  </sheetViews>
  <sheetFormatPr baseColWidth="10" defaultRowHeight="12.75" x14ac:dyDescent="0.2"/>
  <cols>
    <col min="1" max="1" width="21.85546875" style="17" customWidth="1"/>
    <col min="2" max="2" width="12.28515625" style="17" bestFit="1" customWidth="1"/>
    <col min="3" max="3" width="8.42578125" style="17" customWidth="1"/>
    <col min="4" max="4" width="6.5703125" style="17" customWidth="1"/>
    <col min="5" max="5" width="9" style="17" customWidth="1"/>
    <col min="6" max="6" width="6.42578125" style="17" customWidth="1"/>
    <col min="7" max="7" width="9" style="17" customWidth="1"/>
    <col min="8" max="8" width="6.42578125" style="17" customWidth="1"/>
    <col min="9" max="9" width="8.7109375" style="17" customWidth="1"/>
    <col min="10" max="10" width="6.42578125" style="17" customWidth="1"/>
    <col min="11" max="11" width="8.85546875" style="17" customWidth="1"/>
    <col min="12" max="12" width="6" style="17" customWidth="1"/>
    <col min="13" max="13" width="10.7109375" style="17" bestFit="1" customWidth="1"/>
    <col min="14" max="14" width="8.5703125" style="17" customWidth="1"/>
    <col min="15" max="15" width="6.42578125" style="17" customWidth="1"/>
    <col min="16" max="16" width="8" style="17" bestFit="1" customWidth="1"/>
    <col min="17" max="16384" width="11.42578125" style="17"/>
  </cols>
  <sheetData>
    <row r="5" spans="1:16" x14ac:dyDescent="0.2">
      <c r="A5" s="702" t="s">
        <v>305</v>
      </c>
      <c r="B5" s="753" t="s">
        <v>319</v>
      </c>
    </row>
    <row r="6" spans="1:16" x14ac:dyDescent="0.2">
      <c r="A6" s="702" t="s">
        <v>306</v>
      </c>
      <c r="B6" s="776">
        <v>38727</v>
      </c>
    </row>
    <row r="7" spans="1:16" x14ac:dyDescent="0.2">
      <c r="A7" s="702" t="s">
        <v>307</v>
      </c>
      <c r="B7" s="766" t="s">
        <v>312</v>
      </c>
    </row>
    <row r="8" spans="1:16" ht="13.5" thickBot="1" x14ac:dyDescent="0.25">
      <c r="A8" s="1863" t="s">
        <v>131</v>
      </c>
      <c r="B8" s="1863"/>
      <c r="C8" s="1863"/>
      <c r="D8" s="1863"/>
      <c r="E8" s="1863"/>
      <c r="F8" s="1863"/>
      <c r="G8" s="1863"/>
      <c r="H8" s="1863"/>
      <c r="I8" s="1863"/>
      <c r="J8" s="1863"/>
      <c r="K8" s="1863"/>
      <c r="L8" s="1863"/>
      <c r="M8" s="1863"/>
      <c r="N8" s="1863"/>
      <c r="O8" s="1863"/>
      <c r="P8" s="1863"/>
    </row>
    <row r="9" spans="1:16" ht="13.5" thickBot="1" x14ac:dyDescent="0.25">
      <c r="A9" s="104" t="s">
        <v>210</v>
      </c>
      <c r="B9" s="105" t="s">
        <v>53</v>
      </c>
      <c r="C9" s="1874" t="s">
        <v>3</v>
      </c>
      <c r="D9" s="1875"/>
      <c r="E9" s="1874" t="s">
        <v>6</v>
      </c>
      <c r="F9" s="1875"/>
      <c r="G9" s="1874" t="s">
        <v>7</v>
      </c>
      <c r="H9" s="1876"/>
      <c r="I9" s="1877" t="s">
        <v>54</v>
      </c>
      <c r="J9" s="1875"/>
      <c r="K9" s="1874" t="s">
        <v>89</v>
      </c>
      <c r="L9" s="1875"/>
      <c r="M9" s="107" t="s">
        <v>81</v>
      </c>
      <c r="N9" s="1874" t="s">
        <v>90</v>
      </c>
      <c r="O9" s="1875"/>
      <c r="P9" s="108" t="s">
        <v>82</v>
      </c>
    </row>
    <row r="10" spans="1:16" ht="20.25" customHeight="1" thickBot="1" x14ac:dyDescent="0.25">
      <c r="A10" s="109"/>
      <c r="B10" s="110" t="s">
        <v>74</v>
      </c>
      <c r="C10" s="104" t="s">
        <v>83</v>
      </c>
      <c r="D10" s="104" t="s">
        <v>5</v>
      </c>
      <c r="E10" s="104" t="s">
        <v>83</v>
      </c>
      <c r="F10" s="104" t="s">
        <v>5</v>
      </c>
      <c r="G10" s="104" t="s">
        <v>91</v>
      </c>
      <c r="H10" s="104" t="s">
        <v>5</v>
      </c>
      <c r="I10" s="104" t="s">
        <v>83</v>
      </c>
      <c r="J10" s="104" t="s">
        <v>5</v>
      </c>
      <c r="K10" s="111" t="s">
        <v>83</v>
      </c>
      <c r="L10" s="104" t="s">
        <v>5</v>
      </c>
      <c r="M10" s="112" t="s">
        <v>92</v>
      </c>
      <c r="N10" s="111" t="s">
        <v>91</v>
      </c>
      <c r="O10" s="104" t="s">
        <v>5</v>
      </c>
      <c r="P10" s="110" t="s">
        <v>85</v>
      </c>
    </row>
    <row r="11" spans="1:16" ht="15" customHeight="1" x14ac:dyDescent="0.2">
      <c r="A11" s="509" t="s">
        <v>12</v>
      </c>
      <c r="B11" s="113">
        <v>2011</v>
      </c>
      <c r="C11" s="510">
        <v>1864</v>
      </c>
      <c r="D11" s="511">
        <f t="shared" ref="D11:D31" si="0">(C11/B11)*100</f>
        <v>92.690203878667333</v>
      </c>
      <c r="E11" s="512">
        <v>1865</v>
      </c>
      <c r="F11" s="511">
        <f t="shared" ref="F11:F31" si="1">(E11/B11)*100</f>
        <v>92.739930382894087</v>
      </c>
      <c r="G11" s="512">
        <v>1706</v>
      </c>
      <c r="H11" s="511">
        <f t="shared" ref="H11:H31" si="2">(G11/B11)*100</f>
        <v>84.833416210840369</v>
      </c>
      <c r="I11" s="512">
        <v>1866</v>
      </c>
      <c r="J11" s="511">
        <f t="shared" ref="J11:J31" si="3">(I11/B11)*100</f>
        <v>92.789656887120827</v>
      </c>
      <c r="K11" s="512">
        <v>1862</v>
      </c>
      <c r="L11" s="511">
        <f t="shared" ref="L11:L31" si="4">(K11/B11)*100</f>
        <v>92.590750870213824</v>
      </c>
      <c r="M11" s="114">
        <v>2008</v>
      </c>
      <c r="N11" s="512">
        <v>1863</v>
      </c>
      <c r="O11" s="511">
        <f t="shared" ref="O11:O31" si="5">(N11/M11)*100</f>
        <v>92.778884462151396</v>
      </c>
      <c r="P11" s="467" t="s">
        <v>132</v>
      </c>
    </row>
    <row r="12" spans="1:16" ht="15" customHeight="1" x14ac:dyDescent="0.2">
      <c r="A12" s="502" t="s">
        <v>11</v>
      </c>
      <c r="B12" s="503">
        <v>102901</v>
      </c>
      <c r="C12" s="504">
        <v>88814</v>
      </c>
      <c r="D12" s="505">
        <f t="shared" si="0"/>
        <v>86.310142758573775</v>
      </c>
      <c r="E12" s="506">
        <v>88751</v>
      </c>
      <c r="F12" s="505">
        <f t="shared" si="1"/>
        <v>86.248918863762256</v>
      </c>
      <c r="G12" s="506">
        <v>95571</v>
      </c>
      <c r="H12" s="505">
        <f t="shared" si="2"/>
        <v>92.876648429072603</v>
      </c>
      <c r="I12" s="506">
        <v>89162</v>
      </c>
      <c r="J12" s="505">
        <f t="shared" si="3"/>
        <v>86.648331891818358</v>
      </c>
      <c r="K12" s="506">
        <v>88590</v>
      </c>
      <c r="L12" s="505">
        <f t="shared" si="4"/>
        <v>86.092457799243931</v>
      </c>
      <c r="M12" s="507">
        <v>103401</v>
      </c>
      <c r="N12" s="506">
        <v>101926</v>
      </c>
      <c r="O12" s="505">
        <f t="shared" si="5"/>
        <v>98.573514762913319</v>
      </c>
      <c r="P12" s="508" t="s">
        <v>132</v>
      </c>
    </row>
    <row r="13" spans="1:16" ht="15" customHeight="1" x14ac:dyDescent="0.2">
      <c r="A13" s="87" t="s">
        <v>13</v>
      </c>
      <c r="B13" s="115">
        <v>7176</v>
      </c>
      <c r="C13" s="119">
        <v>5973</v>
      </c>
      <c r="D13" s="76">
        <f t="shared" si="0"/>
        <v>83.235785953177256</v>
      </c>
      <c r="E13" s="117">
        <v>5973</v>
      </c>
      <c r="F13" s="76">
        <f t="shared" si="1"/>
        <v>83.235785953177256</v>
      </c>
      <c r="G13" s="117">
        <v>5090</v>
      </c>
      <c r="H13" s="76">
        <f t="shared" si="2"/>
        <v>70.930880713489415</v>
      </c>
      <c r="I13" s="117">
        <v>5944</v>
      </c>
      <c r="J13" s="76">
        <f t="shared" si="3"/>
        <v>82.831661092530666</v>
      </c>
      <c r="K13" s="117">
        <v>5973</v>
      </c>
      <c r="L13" s="76">
        <f t="shared" si="4"/>
        <v>83.235785953177256</v>
      </c>
      <c r="M13" s="118">
        <v>6992</v>
      </c>
      <c r="N13" s="117">
        <v>5281</v>
      </c>
      <c r="O13" s="76">
        <f t="shared" si="5"/>
        <v>75.529176201372991</v>
      </c>
      <c r="P13" s="77" t="s">
        <v>132</v>
      </c>
    </row>
    <row r="14" spans="1:16" ht="15" customHeight="1" x14ac:dyDescent="0.2">
      <c r="A14" s="87" t="s">
        <v>14</v>
      </c>
      <c r="B14" s="115">
        <v>22862</v>
      </c>
      <c r="C14" s="116">
        <v>18146</v>
      </c>
      <c r="D14" s="76">
        <f t="shared" si="0"/>
        <v>79.371883474761617</v>
      </c>
      <c r="E14" s="117">
        <v>18136</v>
      </c>
      <c r="F14" s="76">
        <f t="shared" si="1"/>
        <v>79.32814276966144</v>
      </c>
      <c r="G14" s="117">
        <v>15698</v>
      </c>
      <c r="H14" s="76">
        <f t="shared" si="2"/>
        <v>68.664158866240925</v>
      </c>
      <c r="I14" s="117">
        <v>18118</v>
      </c>
      <c r="J14" s="76">
        <f t="shared" si="3"/>
        <v>79.24940950048115</v>
      </c>
      <c r="K14" s="117">
        <v>18095</v>
      </c>
      <c r="L14" s="76">
        <f t="shared" si="4"/>
        <v>79.148805878750764</v>
      </c>
      <c r="M14" s="118">
        <v>22742</v>
      </c>
      <c r="N14" s="117">
        <v>17496</v>
      </c>
      <c r="O14" s="76">
        <f t="shared" si="5"/>
        <v>76.932547709084503</v>
      </c>
      <c r="P14" s="77" t="s">
        <v>132</v>
      </c>
    </row>
    <row r="15" spans="1:16" ht="15" customHeight="1" x14ac:dyDescent="0.2">
      <c r="A15" s="92" t="s">
        <v>115</v>
      </c>
      <c r="B15" s="115">
        <v>21509</v>
      </c>
      <c r="C15" s="116">
        <v>26716</v>
      </c>
      <c r="D15" s="76">
        <f t="shared" si="0"/>
        <v>124.20847087265795</v>
      </c>
      <c r="E15" s="117">
        <v>26896</v>
      </c>
      <c r="F15" s="76">
        <f t="shared" si="1"/>
        <v>125.04532986191828</v>
      </c>
      <c r="G15" s="117">
        <v>35457</v>
      </c>
      <c r="H15" s="76">
        <f t="shared" si="2"/>
        <v>164.84727323446</v>
      </c>
      <c r="I15" s="117">
        <v>26896</v>
      </c>
      <c r="J15" s="76">
        <f t="shared" si="3"/>
        <v>125.04532986191828</v>
      </c>
      <c r="K15" s="117">
        <v>26831</v>
      </c>
      <c r="L15" s="76">
        <f t="shared" si="4"/>
        <v>124.74313078246315</v>
      </c>
      <c r="M15" s="118">
        <v>21517</v>
      </c>
      <c r="N15" s="117">
        <v>25151</v>
      </c>
      <c r="O15" s="76">
        <f t="shared" si="5"/>
        <v>116.88897151089836</v>
      </c>
      <c r="P15" s="77" t="s">
        <v>132</v>
      </c>
    </row>
    <row r="16" spans="1:16" ht="15" customHeight="1" x14ac:dyDescent="0.2">
      <c r="A16" s="87" t="s">
        <v>15</v>
      </c>
      <c r="B16" s="120">
        <v>116453</v>
      </c>
      <c r="C16" s="119">
        <v>105607</v>
      </c>
      <c r="D16" s="76">
        <f t="shared" si="0"/>
        <v>90.686371325770907</v>
      </c>
      <c r="E16" s="117">
        <v>105509</v>
      </c>
      <c r="F16" s="76">
        <f t="shared" si="1"/>
        <v>90.602217203506996</v>
      </c>
      <c r="G16" s="117">
        <v>116499</v>
      </c>
      <c r="H16" s="76">
        <f t="shared" si="2"/>
        <v>100.03950091453204</v>
      </c>
      <c r="I16" s="117">
        <v>105505</v>
      </c>
      <c r="J16" s="76">
        <f t="shared" si="3"/>
        <v>90.598782341373777</v>
      </c>
      <c r="K16" s="117">
        <v>105469</v>
      </c>
      <c r="L16" s="76">
        <f t="shared" si="4"/>
        <v>90.567868582174782</v>
      </c>
      <c r="M16" s="118">
        <v>117717</v>
      </c>
      <c r="N16" s="117">
        <v>109079</v>
      </c>
      <c r="O16" s="76">
        <f t="shared" si="5"/>
        <v>92.662062403900876</v>
      </c>
      <c r="P16" s="77" t="s">
        <v>132</v>
      </c>
    </row>
    <row r="17" spans="1:16" ht="15" customHeight="1" x14ac:dyDescent="0.2">
      <c r="A17" s="87" t="s">
        <v>62</v>
      </c>
      <c r="B17" s="115">
        <v>24089</v>
      </c>
      <c r="C17" s="116">
        <v>24647</v>
      </c>
      <c r="D17" s="76">
        <f t="shared" si="0"/>
        <v>102.31640997965876</v>
      </c>
      <c r="E17" s="117">
        <v>24453</v>
      </c>
      <c r="F17" s="76">
        <f t="shared" si="1"/>
        <v>101.51106314085267</v>
      </c>
      <c r="G17" s="117">
        <v>20651</v>
      </c>
      <c r="H17" s="76">
        <f t="shared" si="2"/>
        <v>85.727925609199218</v>
      </c>
      <c r="I17" s="117">
        <v>24326</v>
      </c>
      <c r="J17" s="76">
        <f t="shared" si="3"/>
        <v>100.98385155050022</v>
      </c>
      <c r="K17" s="117">
        <v>24429</v>
      </c>
      <c r="L17" s="76">
        <f t="shared" si="4"/>
        <v>101.41143260409315</v>
      </c>
      <c r="M17" s="118">
        <v>24368</v>
      </c>
      <c r="N17" s="117">
        <v>22189</v>
      </c>
      <c r="O17" s="76">
        <f t="shared" si="5"/>
        <v>91.057944845699282</v>
      </c>
      <c r="P17" s="77" t="s">
        <v>132</v>
      </c>
    </row>
    <row r="18" spans="1:16" ht="15" customHeight="1" x14ac:dyDescent="0.2">
      <c r="A18" s="87" t="s">
        <v>45</v>
      </c>
      <c r="B18" s="115">
        <v>17398</v>
      </c>
      <c r="C18" s="116">
        <v>19778</v>
      </c>
      <c r="D18" s="76">
        <f t="shared" si="0"/>
        <v>113.67973330267847</v>
      </c>
      <c r="E18" s="117">
        <v>19125</v>
      </c>
      <c r="F18" s="76">
        <f t="shared" si="1"/>
        <v>109.92642832509485</v>
      </c>
      <c r="G18" s="117">
        <v>19445</v>
      </c>
      <c r="H18" s="76">
        <f t="shared" si="2"/>
        <v>111.76572019772388</v>
      </c>
      <c r="I18" s="117">
        <v>19125</v>
      </c>
      <c r="J18" s="76">
        <f t="shared" si="3"/>
        <v>109.92642832509485</v>
      </c>
      <c r="K18" s="117">
        <v>19125</v>
      </c>
      <c r="L18" s="76">
        <f t="shared" si="4"/>
        <v>109.92642832509485</v>
      </c>
      <c r="M18" s="118">
        <v>17566</v>
      </c>
      <c r="N18" s="117">
        <v>17225</v>
      </c>
      <c r="O18" s="76">
        <f t="shared" si="5"/>
        <v>98.058749857679601</v>
      </c>
      <c r="P18" s="77" t="s">
        <v>132</v>
      </c>
    </row>
    <row r="19" spans="1:16" ht="15" customHeight="1" x14ac:dyDescent="0.2">
      <c r="A19" s="87" t="s">
        <v>17</v>
      </c>
      <c r="B19" s="120">
        <v>25088</v>
      </c>
      <c r="C19" s="116">
        <v>22420</v>
      </c>
      <c r="D19" s="76">
        <f t="shared" si="0"/>
        <v>89.365433673469383</v>
      </c>
      <c r="E19" s="117">
        <v>22218</v>
      </c>
      <c r="F19" s="76">
        <f t="shared" si="1"/>
        <v>88.560267857142861</v>
      </c>
      <c r="G19" s="117">
        <v>22660</v>
      </c>
      <c r="H19" s="76">
        <f t="shared" si="2"/>
        <v>90.322066326530617</v>
      </c>
      <c r="I19" s="117">
        <v>22219</v>
      </c>
      <c r="J19" s="76">
        <f t="shared" si="3"/>
        <v>88.564253826530617</v>
      </c>
      <c r="K19" s="117">
        <v>22218</v>
      </c>
      <c r="L19" s="76">
        <f t="shared" si="4"/>
        <v>88.560267857142861</v>
      </c>
      <c r="M19" s="118">
        <v>25441</v>
      </c>
      <c r="N19" s="117">
        <v>23174</v>
      </c>
      <c r="O19" s="76">
        <f t="shared" si="5"/>
        <v>91.089186745804014</v>
      </c>
      <c r="P19" s="77" t="s">
        <v>132</v>
      </c>
    </row>
    <row r="20" spans="1:16" ht="15" customHeight="1" x14ac:dyDescent="0.2">
      <c r="A20" s="87" t="s">
        <v>19</v>
      </c>
      <c r="B20" s="120">
        <v>17250</v>
      </c>
      <c r="C20" s="116">
        <v>15298</v>
      </c>
      <c r="D20" s="76">
        <f t="shared" si="0"/>
        <v>88.684057971014497</v>
      </c>
      <c r="E20" s="117">
        <v>15180</v>
      </c>
      <c r="F20" s="76">
        <f t="shared" si="1"/>
        <v>88</v>
      </c>
      <c r="G20" s="117">
        <v>13632</v>
      </c>
      <c r="H20" s="76">
        <f t="shared" si="2"/>
        <v>79.026086956521738</v>
      </c>
      <c r="I20" s="117">
        <v>15399</v>
      </c>
      <c r="J20" s="76">
        <f t="shared" si="3"/>
        <v>89.269565217391303</v>
      </c>
      <c r="K20" s="117">
        <v>15269</v>
      </c>
      <c r="L20" s="76">
        <f t="shared" si="4"/>
        <v>88.515942028985506</v>
      </c>
      <c r="M20" s="118">
        <v>17131</v>
      </c>
      <c r="N20" s="117">
        <v>16097</v>
      </c>
      <c r="O20" s="76">
        <f t="shared" si="5"/>
        <v>93.964158542992237</v>
      </c>
      <c r="P20" s="77" t="s">
        <v>132</v>
      </c>
    </row>
    <row r="21" spans="1:16" ht="15" customHeight="1" x14ac:dyDescent="0.2">
      <c r="A21" s="87" t="s">
        <v>63</v>
      </c>
      <c r="B21" s="120">
        <v>11190</v>
      </c>
      <c r="C21" s="116">
        <v>10417</v>
      </c>
      <c r="D21" s="76">
        <f t="shared" si="0"/>
        <v>93.092046470062556</v>
      </c>
      <c r="E21" s="117">
        <v>10427</v>
      </c>
      <c r="F21" s="76">
        <f t="shared" si="1"/>
        <v>93.181411974977664</v>
      </c>
      <c r="G21" s="117">
        <v>10665</v>
      </c>
      <c r="H21" s="76">
        <f t="shared" si="2"/>
        <v>95.3083109919571</v>
      </c>
      <c r="I21" s="117">
        <v>10425</v>
      </c>
      <c r="J21" s="76">
        <f t="shared" si="3"/>
        <v>93.163538873994639</v>
      </c>
      <c r="K21" s="117">
        <v>10431</v>
      </c>
      <c r="L21" s="76">
        <f t="shared" si="4"/>
        <v>93.217158176943698</v>
      </c>
      <c r="M21" s="118">
        <v>11110</v>
      </c>
      <c r="N21" s="117">
        <v>11047</v>
      </c>
      <c r="O21" s="76">
        <f t="shared" si="5"/>
        <v>99.432943294329434</v>
      </c>
      <c r="P21" s="77" t="s">
        <v>132</v>
      </c>
    </row>
    <row r="22" spans="1:16" ht="15" customHeight="1" x14ac:dyDescent="0.2">
      <c r="A22" s="87" t="s">
        <v>21</v>
      </c>
      <c r="B22" s="120">
        <v>7047</v>
      </c>
      <c r="C22" s="116">
        <v>7312</v>
      </c>
      <c r="D22" s="76">
        <f t="shared" si="0"/>
        <v>103.7604654462892</v>
      </c>
      <c r="E22" s="117">
        <v>7312</v>
      </c>
      <c r="F22" s="76">
        <f t="shared" si="1"/>
        <v>103.7604654462892</v>
      </c>
      <c r="G22" s="117">
        <v>6797</v>
      </c>
      <c r="H22" s="76">
        <f t="shared" si="2"/>
        <v>96.452391088406415</v>
      </c>
      <c r="I22" s="117">
        <v>7314</v>
      </c>
      <c r="J22" s="76">
        <f t="shared" si="3"/>
        <v>103.78884631758194</v>
      </c>
      <c r="K22" s="117">
        <v>7312</v>
      </c>
      <c r="L22" s="76">
        <f t="shared" si="4"/>
        <v>103.7604654462892</v>
      </c>
      <c r="M22" s="118">
        <v>7073</v>
      </c>
      <c r="N22" s="117">
        <v>7251</v>
      </c>
      <c r="O22" s="76">
        <f t="shared" si="5"/>
        <v>102.51661246995619</v>
      </c>
      <c r="P22" s="77" t="s">
        <v>132</v>
      </c>
    </row>
    <row r="23" spans="1:16" ht="15" customHeight="1" x14ac:dyDescent="0.2">
      <c r="A23" s="87" t="s">
        <v>18</v>
      </c>
      <c r="B23" s="120">
        <v>26545</v>
      </c>
      <c r="C23" s="116">
        <v>22360</v>
      </c>
      <c r="D23" s="76">
        <f t="shared" si="0"/>
        <v>84.234319080806173</v>
      </c>
      <c r="E23" s="117">
        <v>22501</v>
      </c>
      <c r="F23" s="76">
        <f t="shared" si="1"/>
        <v>84.765492559804102</v>
      </c>
      <c r="G23" s="117">
        <v>21570</v>
      </c>
      <c r="H23" s="76">
        <f t="shared" si="2"/>
        <v>81.258240723300062</v>
      </c>
      <c r="I23" s="117">
        <v>22369</v>
      </c>
      <c r="J23" s="76">
        <f t="shared" si="3"/>
        <v>84.26822377095499</v>
      </c>
      <c r="K23" s="117">
        <v>22525</v>
      </c>
      <c r="L23" s="76">
        <f t="shared" si="4"/>
        <v>84.855905066867592</v>
      </c>
      <c r="M23" s="118">
        <v>27173</v>
      </c>
      <c r="N23" s="117">
        <v>22708</v>
      </c>
      <c r="O23" s="76">
        <f t="shared" si="5"/>
        <v>83.568247893129211</v>
      </c>
      <c r="P23" s="77" t="s">
        <v>132</v>
      </c>
    </row>
    <row r="24" spans="1:16" ht="15" customHeight="1" x14ac:dyDescent="0.2">
      <c r="A24" s="87" t="s">
        <v>22</v>
      </c>
      <c r="B24" s="120">
        <v>22610</v>
      </c>
      <c r="C24" s="116">
        <v>24301</v>
      </c>
      <c r="D24" s="76">
        <f t="shared" si="0"/>
        <v>107.47899159663865</v>
      </c>
      <c r="E24" s="117">
        <v>24284</v>
      </c>
      <c r="F24" s="76">
        <f t="shared" si="1"/>
        <v>107.40380362671385</v>
      </c>
      <c r="G24" s="117">
        <v>24039</v>
      </c>
      <c r="H24" s="76">
        <f t="shared" si="2"/>
        <v>106.32021229544448</v>
      </c>
      <c r="I24" s="117">
        <v>24249</v>
      </c>
      <c r="J24" s="76">
        <f t="shared" si="3"/>
        <v>107.24900486510394</v>
      </c>
      <c r="K24" s="117">
        <v>24272</v>
      </c>
      <c r="L24" s="76">
        <f t="shared" si="4"/>
        <v>107.35072976559043</v>
      </c>
      <c r="M24" s="118">
        <v>22620</v>
      </c>
      <c r="N24" s="117">
        <v>24367</v>
      </c>
      <c r="O24" s="76">
        <f t="shared" si="5"/>
        <v>107.72325375773653</v>
      </c>
      <c r="P24" s="77" t="s">
        <v>132</v>
      </c>
    </row>
    <row r="25" spans="1:16" ht="15" customHeight="1" x14ac:dyDescent="0.2">
      <c r="A25" s="87" t="s">
        <v>24</v>
      </c>
      <c r="B25" s="120">
        <v>13553</v>
      </c>
      <c r="C25" s="116">
        <v>9340</v>
      </c>
      <c r="D25" s="76">
        <f t="shared" si="0"/>
        <v>68.914631446912125</v>
      </c>
      <c r="E25" s="117">
        <v>9303</v>
      </c>
      <c r="F25" s="76">
        <f t="shared" si="1"/>
        <v>68.641629159595666</v>
      </c>
      <c r="G25" s="117">
        <v>10241</v>
      </c>
      <c r="H25" s="76">
        <f t="shared" si="2"/>
        <v>75.562606065077844</v>
      </c>
      <c r="I25" s="117">
        <v>9045</v>
      </c>
      <c r="J25" s="76">
        <f t="shared" si="3"/>
        <v>66.737991588578168</v>
      </c>
      <c r="K25" s="117">
        <v>9257</v>
      </c>
      <c r="L25" s="76">
        <f t="shared" si="4"/>
        <v>68.302220910499528</v>
      </c>
      <c r="M25" s="118">
        <v>13379</v>
      </c>
      <c r="N25" s="117">
        <v>9437</v>
      </c>
      <c r="O25" s="76">
        <f t="shared" si="5"/>
        <v>70.535914492861949</v>
      </c>
      <c r="P25" s="77" t="s">
        <v>132</v>
      </c>
    </row>
    <row r="26" spans="1:16" ht="15" customHeight="1" x14ac:dyDescent="0.2">
      <c r="A26" s="87" t="s">
        <v>64</v>
      </c>
      <c r="B26" s="120">
        <v>35531</v>
      </c>
      <c r="C26" s="116">
        <v>30758</v>
      </c>
      <c r="D26" s="76">
        <f t="shared" si="0"/>
        <v>86.566660099631306</v>
      </c>
      <c r="E26" s="117">
        <v>30719</v>
      </c>
      <c r="F26" s="76">
        <f t="shared" si="1"/>
        <v>86.456896794348594</v>
      </c>
      <c r="G26" s="117">
        <v>34698</v>
      </c>
      <c r="H26" s="76">
        <f t="shared" si="2"/>
        <v>97.65556837691031</v>
      </c>
      <c r="I26" s="117">
        <v>30706</v>
      </c>
      <c r="J26" s="76">
        <f t="shared" si="3"/>
        <v>86.420309025921028</v>
      </c>
      <c r="K26" s="117">
        <v>30749</v>
      </c>
      <c r="L26" s="76">
        <f t="shared" si="4"/>
        <v>86.541330106104525</v>
      </c>
      <c r="M26" s="118">
        <v>35041</v>
      </c>
      <c r="N26" s="117">
        <v>30746</v>
      </c>
      <c r="O26" s="76">
        <f t="shared" si="5"/>
        <v>87.742929710910076</v>
      </c>
      <c r="P26" s="77" t="s">
        <v>132</v>
      </c>
    </row>
    <row r="27" spans="1:16" ht="15" customHeight="1" x14ac:dyDescent="0.2">
      <c r="A27" s="92" t="s">
        <v>122</v>
      </c>
      <c r="B27" s="120">
        <v>44665</v>
      </c>
      <c r="C27" s="116">
        <v>33444</v>
      </c>
      <c r="D27" s="76">
        <f t="shared" si="0"/>
        <v>74.877420799283556</v>
      </c>
      <c r="E27" s="117">
        <v>33444</v>
      </c>
      <c r="F27" s="76">
        <f t="shared" si="1"/>
        <v>74.877420799283556</v>
      </c>
      <c r="G27" s="117">
        <v>33349</v>
      </c>
      <c r="H27" s="76">
        <f t="shared" si="2"/>
        <v>74.664726295757305</v>
      </c>
      <c r="I27" s="117">
        <v>33444</v>
      </c>
      <c r="J27" s="76">
        <f t="shared" si="3"/>
        <v>74.877420799283556</v>
      </c>
      <c r="K27" s="117">
        <v>33444</v>
      </c>
      <c r="L27" s="76">
        <f t="shared" si="4"/>
        <v>74.877420799283556</v>
      </c>
      <c r="M27" s="118">
        <v>45169</v>
      </c>
      <c r="N27" s="117">
        <v>36202</v>
      </c>
      <c r="O27" s="76">
        <f t="shared" si="5"/>
        <v>80.147889038942637</v>
      </c>
      <c r="P27" s="77" t="s">
        <v>132</v>
      </c>
    </row>
    <row r="28" spans="1:16" ht="15" customHeight="1" x14ac:dyDescent="0.2">
      <c r="A28" s="87" t="s">
        <v>65</v>
      </c>
      <c r="B28" s="115">
        <v>886</v>
      </c>
      <c r="C28" s="116">
        <v>588</v>
      </c>
      <c r="D28" s="76">
        <f t="shared" si="0"/>
        <v>66.365688487584649</v>
      </c>
      <c r="E28" s="117">
        <v>612</v>
      </c>
      <c r="F28" s="76">
        <f t="shared" si="1"/>
        <v>69.074492099322811</v>
      </c>
      <c r="G28" s="117">
        <v>693</v>
      </c>
      <c r="H28" s="76">
        <f t="shared" si="2"/>
        <v>78.216704288939056</v>
      </c>
      <c r="I28" s="117">
        <v>610</v>
      </c>
      <c r="J28" s="76">
        <f t="shared" si="3"/>
        <v>68.848758465011286</v>
      </c>
      <c r="K28" s="117">
        <v>609</v>
      </c>
      <c r="L28" s="76">
        <f t="shared" si="4"/>
        <v>68.735891647855524</v>
      </c>
      <c r="M28" s="118">
        <v>924</v>
      </c>
      <c r="N28" s="117">
        <v>603</v>
      </c>
      <c r="O28" s="76">
        <f t="shared" si="5"/>
        <v>65.259740259740255</v>
      </c>
      <c r="P28" s="77" t="s">
        <v>132</v>
      </c>
    </row>
    <row r="29" spans="1:16" ht="15" customHeight="1" x14ac:dyDescent="0.2">
      <c r="A29" s="87" t="s">
        <v>26</v>
      </c>
      <c r="B29" s="115">
        <v>2805</v>
      </c>
      <c r="C29" s="116">
        <v>2236</v>
      </c>
      <c r="D29" s="76">
        <f t="shared" si="0"/>
        <v>79.71479500891266</v>
      </c>
      <c r="E29" s="117">
        <v>2242</v>
      </c>
      <c r="F29" s="76">
        <f t="shared" si="1"/>
        <v>79.928698752228172</v>
      </c>
      <c r="G29" s="117">
        <v>2221</v>
      </c>
      <c r="H29" s="76">
        <f t="shared" si="2"/>
        <v>79.180035650623878</v>
      </c>
      <c r="I29" s="117">
        <v>2242</v>
      </c>
      <c r="J29" s="76">
        <f t="shared" si="3"/>
        <v>79.928698752228172</v>
      </c>
      <c r="K29" s="117">
        <v>2201</v>
      </c>
      <c r="L29" s="76">
        <f t="shared" si="4"/>
        <v>78.467023172905527</v>
      </c>
      <c r="M29" s="118">
        <v>2758</v>
      </c>
      <c r="N29" s="117">
        <v>2305</v>
      </c>
      <c r="O29" s="76">
        <f t="shared" si="5"/>
        <v>83.575054387237131</v>
      </c>
      <c r="P29" s="77" t="s">
        <v>132</v>
      </c>
    </row>
    <row r="30" spans="1:16" ht="15" customHeight="1" x14ac:dyDescent="0.2">
      <c r="A30" s="87" t="s">
        <v>27</v>
      </c>
      <c r="B30" s="120">
        <v>22367</v>
      </c>
      <c r="C30" s="116">
        <v>21847</v>
      </c>
      <c r="D30" s="76">
        <f t="shared" si="0"/>
        <v>97.675146421066756</v>
      </c>
      <c r="E30" s="117">
        <v>21972</v>
      </c>
      <c r="F30" s="76">
        <f t="shared" si="1"/>
        <v>98.234005454464167</v>
      </c>
      <c r="G30" s="117">
        <v>21221</v>
      </c>
      <c r="H30" s="76">
        <f t="shared" si="2"/>
        <v>94.876380381812481</v>
      </c>
      <c r="I30" s="117">
        <v>21972</v>
      </c>
      <c r="J30" s="76">
        <f t="shared" si="3"/>
        <v>98.234005454464167</v>
      </c>
      <c r="K30" s="117">
        <v>21970</v>
      </c>
      <c r="L30" s="76">
        <f t="shared" si="4"/>
        <v>98.225063709929799</v>
      </c>
      <c r="M30" s="118">
        <v>22691</v>
      </c>
      <c r="N30" s="117">
        <v>21623</v>
      </c>
      <c r="O30" s="76">
        <f t="shared" si="5"/>
        <v>95.293288087788113</v>
      </c>
      <c r="P30" s="77" t="s">
        <v>132</v>
      </c>
    </row>
    <row r="31" spans="1:16" ht="15" customHeight="1" x14ac:dyDescent="0.2">
      <c r="A31" s="92" t="s">
        <v>124</v>
      </c>
      <c r="B31" s="120">
        <v>20869</v>
      </c>
      <c r="C31" s="116">
        <v>12284</v>
      </c>
      <c r="D31" s="76">
        <f t="shared" si="0"/>
        <v>58.862427524078775</v>
      </c>
      <c r="E31" s="117">
        <v>12188</v>
      </c>
      <c r="F31" s="76">
        <f t="shared" si="1"/>
        <v>58.402415065408022</v>
      </c>
      <c r="G31" s="117">
        <v>12674</v>
      </c>
      <c r="H31" s="76">
        <f t="shared" si="2"/>
        <v>60.731228137428715</v>
      </c>
      <c r="I31" s="117">
        <v>12334</v>
      </c>
      <c r="J31" s="76">
        <f t="shared" si="3"/>
        <v>59.102017346303128</v>
      </c>
      <c r="K31" s="117">
        <v>12211</v>
      </c>
      <c r="L31" s="76">
        <f t="shared" si="4"/>
        <v>58.512626383631229</v>
      </c>
      <c r="M31" s="118">
        <v>20407</v>
      </c>
      <c r="N31" s="117">
        <v>11806</v>
      </c>
      <c r="O31" s="76">
        <f t="shared" si="5"/>
        <v>57.852697603763417</v>
      </c>
      <c r="P31" s="77" t="s">
        <v>132</v>
      </c>
    </row>
    <row r="32" spans="1:16" ht="15" customHeight="1" x14ac:dyDescent="0.2">
      <c r="A32" s="87" t="s">
        <v>28</v>
      </c>
      <c r="B32" s="115">
        <v>18858</v>
      </c>
      <c r="C32" s="116">
        <v>21044</v>
      </c>
      <c r="D32" s="76">
        <f t="shared" ref="D32:D47" si="6">(C32/B32)*100</f>
        <v>111.5918973379998</v>
      </c>
      <c r="E32" s="117">
        <v>21031</v>
      </c>
      <c r="F32" s="76">
        <f t="shared" ref="F32:F47" si="7">(E32/B32)*100</f>
        <v>111.52296107752677</v>
      </c>
      <c r="G32" s="117">
        <v>21310</v>
      </c>
      <c r="H32" s="76">
        <f t="shared" ref="H32:H47" si="8">(G32/B32)*100</f>
        <v>113.00243928306288</v>
      </c>
      <c r="I32" s="117">
        <v>21094</v>
      </c>
      <c r="J32" s="76">
        <f t="shared" ref="J32:J47" si="9">(I32/B32)*100</f>
        <v>111.85703680135752</v>
      </c>
      <c r="K32" s="117">
        <v>20840</v>
      </c>
      <c r="L32" s="76">
        <f t="shared" ref="L32:L47" si="10">(K32/B32)*100</f>
        <v>110.51012832750027</v>
      </c>
      <c r="M32" s="118">
        <v>19269</v>
      </c>
      <c r="N32" s="117">
        <v>20699</v>
      </c>
      <c r="O32" s="76">
        <f t="shared" ref="O32:O47" si="11">(N32/M32)*100</f>
        <v>107.42124656183508</v>
      </c>
      <c r="P32" s="77" t="s">
        <v>132</v>
      </c>
    </row>
    <row r="33" spans="1:16" ht="15" customHeight="1" x14ac:dyDescent="0.2">
      <c r="A33" s="92" t="s">
        <v>127</v>
      </c>
      <c r="B33" s="115">
        <v>9239</v>
      </c>
      <c r="C33" s="116">
        <v>8070</v>
      </c>
      <c r="D33" s="76">
        <f t="shared" si="6"/>
        <v>87.347115488689255</v>
      </c>
      <c r="E33" s="117">
        <v>8078</v>
      </c>
      <c r="F33" s="76">
        <f t="shared" si="7"/>
        <v>87.433704946422779</v>
      </c>
      <c r="G33" s="117">
        <v>9936</v>
      </c>
      <c r="H33" s="76">
        <f t="shared" si="8"/>
        <v>107.54410650503301</v>
      </c>
      <c r="I33" s="117">
        <v>8078</v>
      </c>
      <c r="J33" s="76">
        <f t="shared" si="9"/>
        <v>87.433704946422779</v>
      </c>
      <c r="K33" s="117">
        <v>8078</v>
      </c>
      <c r="L33" s="76">
        <f t="shared" si="10"/>
        <v>87.433704946422779</v>
      </c>
      <c r="M33" s="118">
        <v>9456</v>
      </c>
      <c r="N33" s="117">
        <v>8739</v>
      </c>
      <c r="O33" s="76">
        <f t="shared" si="11"/>
        <v>92.417512690355323</v>
      </c>
      <c r="P33" s="77" t="s">
        <v>132</v>
      </c>
    </row>
    <row r="34" spans="1:16" ht="15" customHeight="1" x14ac:dyDescent="0.2">
      <c r="A34" s="87" t="s">
        <v>29</v>
      </c>
      <c r="B34" s="120">
        <v>17507</v>
      </c>
      <c r="C34" s="116">
        <v>17061</v>
      </c>
      <c r="D34" s="76">
        <f t="shared" si="6"/>
        <v>97.452447592391607</v>
      </c>
      <c r="E34" s="117">
        <v>17170</v>
      </c>
      <c r="F34" s="76">
        <f t="shared" si="7"/>
        <v>98.075055692008902</v>
      </c>
      <c r="G34" s="117">
        <v>17095</v>
      </c>
      <c r="H34" s="76">
        <f t="shared" si="8"/>
        <v>97.646655623464895</v>
      </c>
      <c r="I34" s="117">
        <v>17170</v>
      </c>
      <c r="J34" s="76">
        <f t="shared" si="9"/>
        <v>98.075055692008902</v>
      </c>
      <c r="K34" s="117">
        <v>17170</v>
      </c>
      <c r="L34" s="76">
        <f t="shared" si="10"/>
        <v>98.075055692008902</v>
      </c>
      <c r="M34" s="118">
        <v>17233</v>
      </c>
      <c r="N34" s="117">
        <v>17786</v>
      </c>
      <c r="O34" s="76">
        <f t="shared" si="11"/>
        <v>103.20895955434341</v>
      </c>
      <c r="P34" s="77" t="s">
        <v>132</v>
      </c>
    </row>
    <row r="35" spans="1:16" ht="15" customHeight="1" x14ac:dyDescent="0.2">
      <c r="A35" s="87" t="s">
        <v>30</v>
      </c>
      <c r="B35" s="120">
        <v>33325</v>
      </c>
      <c r="C35" s="116">
        <v>27961</v>
      </c>
      <c r="D35" s="76">
        <f t="shared" si="6"/>
        <v>83.9039759939985</v>
      </c>
      <c r="E35" s="117">
        <v>27979</v>
      </c>
      <c r="F35" s="76">
        <f t="shared" si="7"/>
        <v>83.957989497374342</v>
      </c>
      <c r="G35" s="117">
        <v>27035</v>
      </c>
      <c r="H35" s="76">
        <f t="shared" si="8"/>
        <v>81.125281320330075</v>
      </c>
      <c r="I35" s="117">
        <v>27979</v>
      </c>
      <c r="J35" s="76">
        <f t="shared" si="9"/>
        <v>83.957989497374342</v>
      </c>
      <c r="K35" s="117">
        <v>27979</v>
      </c>
      <c r="L35" s="76">
        <f t="shared" si="10"/>
        <v>83.957989497374342</v>
      </c>
      <c r="M35" s="118">
        <v>33651</v>
      </c>
      <c r="N35" s="117">
        <v>28339</v>
      </c>
      <c r="O35" s="76">
        <f t="shared" si="11"/>
        <v>84.21443642090874</v>
      </c>
      <c r="P35" s="77" t="s">
        <v>132</v>
      </c>
    </row>
    <row r="36" spans="1:16" ht="15" customHeight="1" x14ac:dyDescent="0.2">
      <c r="A36" s="92" t="s">
        <v>125</v>
      </c>
      <c r="B36" s="120">
        <v>25198</v>
      </c>
      <c r="C36" s="116">
        <v>28448</v>
      </c>
      <c r="D36" s="76">
        <f t="shared" si="6"/>
        <v>112.89784903563775</v>
      </c>
      <c r="E36" s="117">
        <v>28446</v>
      </c>
      <c r="F36" s="76">
        <f t="shared" si="7"/>
        <v>112.88991189776966</v>
      </c>
      <c r="G36" s="117">
        <v>25725</v>
      </c>
      <c r="H36" s="76">
        <f t="shared" si="8"/>
        <v>102.09143582824034</v>
      </c>
      <c r="I36" s="117">
        <v>28438</v>
      </c>
      <c r="J36" s="76">
        <f t="shared" si="9"/>
        <v>112.85816334629732</v>
      </c>
      <c r="K36" s="117">
        <v>28446</v>
      </c>
      <c r="L36" s="76">
        <f t="shared" si="10"/>
        <v>112.88991189776966</v>
      </c>
      <c r="M36" s="118">
        <v>26247</v>
      </c>
      <c r="N36" s="117">
        <v>27176</v>
      </c>
      <c r="O36" s="76">
        <f t="shared" si="11"/>
        <v>103.53945212786225</v>
      </c>
      <c r="P36" s="77" t="s">
        <v>132</v>
      </c>
    </row>
    <row r="37" spans="1:16" ht="15" customHeight="1" x14ac:dyDescent="0.2">
      <c r="A37" s="87" t="s">
        <v>31</v>
      </c>
      <c r="B37" s="120">
        <v>8192</v>
      </c>
      <c r="C37" s="116">
        <v>9437</v>
      </c>
      <c r="D37" s="76">
        <f t="shared" si="6"/>
        <v>115.19775390625</v>
      </c>
      <c r="E37" s="117">
        <v>9417</v>
      </c>
      <c r="F37" s="76">
        <f t="shared" si="7"/>
        <v>114.95361328125</v>
      </c>
      <c r="G37" s="117">
        <v>7790</v>
      </c>
      <c r="H37" s="76">
        <f t="shared" si="8"/>
        <v>95.0927734375</v>
      </c>
      <c r="I37" s="117">
        <v>9417</v>
      </c>
      <c r="J37" s="76">
        <f t="shared" si="9"/>
        <v>114.95361328125</v>
      </c>
      <c r="K37" s="117">
        <v>9417</v>
      </c>
      <c r="L37" s="76">
        <f t="shared" si="10"/>
        <v>114.95361328125</v>
      </c>
      <c r="M37" s="118">
        <v>8203</v>
      </c>
      <c r="N37" s="117">
        <v>8996</v>
      </c>
      <c r="O37" s="76">
        <f t="shared" si="11"/>
        <v>109.66719492868462</v>
      </c>
      <c r="P37" s="77" t="s">
        <v>132</v>
      </c>
    </row>
    <row r="38" spans="1:16" ht="15" customHeight="1" x14ac:dyDescent="0.2">
      <c r="A38" s="87" t="s">
        <v>104</v>
      </c>
      <c r="B38" s="120">
        <v>9354</v>
      </c>
      <c r="C38" s="116">
        <v>9899</v>
      </c>
      <c r="D38" s="76">
        <f t="shared" si="6"/>
        <v>105.82638443446655</v>
      </c>
      <c r="E38" s="117">
        <v>9899</v>
      </c>
      <c r="F38" s="76">
        <f t="shared" si="7"/>
        <v>105.82638443446655</v>
      </c>
      <c r="G38" s="117">
        <v>7831</v>
      </c>
      <c r="H38" s="76">
        <f t="shared" si="8"/>
        <v>83.71819542441736</v>
      </c>
      <c r="I38" s="117">
        <v>9899</v>
      </c>
      <c r="J38" s="76">
        <f t="shared" si="9"/>
        <v>105.82638443446655</v>
      </c>
      <c r="K38" s="117">
        <v>9899</v>
      </c>
      <c r="L38" s="76">
        <f t="shared" si="10"/>
        <v>105.82638443446655</v>
      </c>
      <c r="M38" s="118">
        <v>9349</v>
      </c>
      <c r="N38" s="117">
        <v>10106</v>
      </c>
      <c r="O38" s="76">
        <f t="shared" si="11"/>
        <v>108.09712268691838</v>
      </c>
      <c r="P38" s="77" t="s">
        <v>132</v>
      </c>
    </row>
    <row r="39" spans="1:16" ht="15" customHeight="1" x14ac:dyDescent="0.2">
      <c r="A39" s="87" t="s">
        <v>33</v>
      </c>
      <c r="B39" s="120">
        <v>15478</v>
      </c>
      <c r="C39" s="116">
        <v>12850</v>
      </c>
      <c r="D39" s="76">
        <f t="shared" si="6"/>
        <v>83.02106215273291</v>
      </c>
      <c r="E39" s="117">
        <v>12864</v>
      </c>
      <c r="F39" s="76">
        <f t="shared" si="7"/>
        <v>83.111513115389585</v>
      </c>
      <c r="G39" s="117">
        <v>13141</v>
      </c>
      <c r="H39" s="76">
        <f t="shared" si="8"/>
        <v>84.901150019382357</v>
      </c>
      <c r="I39" s="117">
        <v>12864</v>
      </c>
      <c r="J39" s="76">
        <f t="shared" si="9"/>
        <v>83.111513115389585</v>
      </c>
      <c r="K39" s="117">
        <v>12864</v>
      </c>
      <c r="L39" s="76">
        <f t="shared" si="10"/>
        <v>83.111513115389585</v>
      </c>
      <c r="M39" s="118">
        <v>15622</v>
      </c>
      <c r="N39" s="117">
        <v>13559</v>
      </c>
      <c r="O39" s="76">
        <f t="shared" si="11"/>
        <v>86.794264498783775</v>
      </c>
      <c r="P39" s="77" t="s">
        <v>132</v>
      </c>
    </row>
    <row r="40" spans="1:16" ht="15" customHeight="1" x14ac:dyDescent="0.2">
      <c r="A40" s="87" t="s">
        <v>34</v>
      </c>
      <c r="B40" s="120">
        <v>1298</v>
      </c>
      <c r="C40" s="116">
        <v>920</v>
      </c>
      <c r="D40" s="76">
        <f t="shared" si="6"/>
        <v>70.878274268104775</v>
      </c>
      <c r="E40" s="117">
        <v>921</v>
      </c>
      <c r="F40" s="76">
        <f t="shared" si="7"/>
        <v>70.955315870570118</v>
      </c>
      <c r="G40" s="117">
        <v>889</v>
      </c>
      <c r="H40" s="76">
        <f t="shared" si="8"/>
        <v>68.489984591679516</v>
      </c>
      <c r="I40" s="117">
        <v>921</v>
      </c>
      <c r="J40" s="76">
        <f t="shared" si="9"/>
        <v>70.955315870570118</v>
      </c>
      <c r="K40" s="117">
        <v>921</v>
      </c>
      <c r="L40" s="76">
        <f t="shared" si="10"/>
        <v>70.955315870570118</v>
      </c>
      <c r="M40" s="118">
        <v>1308</v>
      </c>
      <c r="N40" s="117">
        <v>867</v>
      </c>
      <c r="O40" s="76">
        <f t="shared" si="11"/>
        <v>66.284403669724767</v>
      </c>
      <c r="P40" s="77" t="s">
        <v>132</v>
      </c>
    </row>
    <row r="41" spans="1:16" ht="15" customHeight="1" x14ac:dyDescent="0.2">
      <c r="A41" s="87" t="s">
        <v>35</v>
      </c>
      <c r="B41" s="120">
        <v>34360</v>
      </c>
      <c r="C41" s="116">
        <v>35720</v>
      </c>
      <c r="D41" s="76">
        <f t="shared" si="6"/>
        <v>103.95809080325959</v>
      </c>
      <c r="E41" s="117">
        <v>35831</v>
      </c>
      <c r="F41" s="76">
        <f t="shared" si="7"/>
        <v>104.28114086146682</v>
      </c>
      <c r="G41" s="117">
        <v>33563</v>
      </c>
      <c r="H41" s="76">
        <f t="shared" si="8"/>
        <v>97.680442374854479</v>
      </c>
      <c r="I41" s="117">
        <v>35835</v>
      </c>
      <c r="J41" s="76">
        <f t="shared" si="9"/>
        <v>104.29278230500583</v>
      </c>
      <c r="K41" s="117">
        <v>35798</v>
      </c>
      <c r="L41" s="76">
        <f t="shared" si="10"/>
        <v>104.18509895227008</v>
      </c>
      <c r="M41" s="118">
        <v>35145</v>
      </c>
      <c r="N41" s="117">
        <v>35429</v>
      </c>
      <c r="O41" s="76">
        <f t="shared" si="11"/>
        <v>100.80808080808082</v>
      </c>
      <c r="P41" s="77" t="s">
        <v>132</v>
      </c>
    </row>
    <row r="42" spans="1:16" ht="15" customHeight="1" x14ac:dyDescent="0.2">
      <c r="A42" s="87" t="s">
        <v>36</v>
      </c>
      <c r="B42" s="120">
        <v>16909</v>
      </c>
      <c r="C42" s="116">
        <v>18723</v>
      </c>
      <c r="D42" s="76">
        <f t="shared" si="6"/>
        <v>110.72801466674551</v>
      </c>
      <c r="E42" s="117">
        <v>18675</v>
      </c>
      <c r="F42" s="76">
        <f t="shared" si="7"/>
        <v>110.44414217280737</v>
      </c>
      <c r="G42" s="117">
        <v>15926</v>
      </c>
      <c r="H42" s="76">
        <f t="shared" si="8"/>
        <v>94.186527884558529</v>
      </c>
      <c r="I42" s="117">
        <v>18647</v>
      </c>
      <c r="J42" s="76">
        <f t="shared" si="9"/>
        <v>110.27854988467681</v>
      </c>
      <c r="K42" s="117">
        <v>18427</v>
      </c>
      <c r="L42" s="76">
        <f t="shared" si="10"/>
        <v>108.97746762079366</v>
      </c>
      <c r="M42" s="118">
        <v>17082</v>
      </c>
      <c r="N42" s="117">
        <v>18800</v>
      </c>
      <c r="O42" s="76">
        <f t="shared" si="11"/>
        <v>110.05737033134292</v>
      </c>
      <c r="P42" s="77" t="s">
        <v>132</v>
      </c>
    </row>
    <row r="43" spans="1:16" ht="15" customHeight="1" x14ac:dyDescent="0.2">
      <c r="A43" s="87" t="s">
        <v>37</v>
      </c>
      <c r="B43" s="120">
        <v>27248</v>
      </c>
      <c r="C43" s="116">
        <v>23871</v>
      </c>
      <c r="D43" s="76">
        <f t="shared" si="6"/>
        <v>87.606429829712269</v>
      </c>
      <c r="E43" s="117">
        <v>24870</v>
      </c>
      <c r="F43" s="76">
        <f t="shared" si="7"/>
        <v>91.272753963593658</v>
      </c>
      <c r="G43" s="117">
        <v>26416</v>
      </c>
      <c r="H43" s="76">
        <f t="shared" si="8"/>
        <v>96.946564885496173</v>
      </c>
      <c r="I43" s="117">
        <v>24768</v>
      </c>
      <c r="J43" s="76">
        <f t="shared" si="9"/>
        <v>90.898414562536701</v>
      </c>
      <c r="K43" s="117">
        <v>24623</v>
      </c>
      <c r="L43" s="76">
        <f t="shared" si="10"/>
        <v>90.366265413975327</v>
      </c>
      <c r="M43" s="118">
        <v>27529</v>
      </c>
      <c r="N43" s="117">
        <v>25293</v>
      </c>
      <c r="O43" s="76">
        <f t="shared" si="11"/>
        <v>91.877656289730822</v>
      </c>
      <c r="P43" s="77" t="s">
        <v>132</v>
      </c>
    </row>
    <row r="44" spans="1:16" ht="15" customHeight="1" x14ac:dyDescent="0.2">
      <c r="A44" s="87" t="s">
        <v>38</v>
      </c>
      <c r="B44" s="120">
        <v>71457</v>
      </c>
      <c r="C44" s="116">
        <v>76844</v>
      </c>
      <c r="D44" s="76">
        <f t="shared" si="6"/>
        <v>107.53879955777602</v>
      </c>
      <c r="E44" s="117">
        <v>76956</v>
      </c>
      <c r="F44" s="76">
        <f t="shared" si="7"/>
        <v>107.69553717620389</v>
      </c>
      <c r="G44" s="117">
        <v>68462</v>
      </c>
      <c r="H44" s="76">
        <f t="shared" si="8"/>
        <v>95.808668150076272</v>
      </c>
      <c r="I44" s="117">
        <v>76742</v>
      </c>
      <c r="J44" s="76">
        <f t="shared" si="9"/>
        <v>107.3960563695649</v>
      </c>
      <c r="K44" s="117">
        <v>76716</v>
      </c>
      <c r="L44" s="76">
        <f t="shared" si="10"/>
        <v>107.35967085100131</v>
      </c>
      <c r="M44" s="118">
        <v>72443</v>
      </c>
      <c r="N44" s="117">
        <v>74557</v>
      </c>
      <c r="O44" s="76">
        <f t="shared" si="11"/>
        <v>102.91815634360808</v>
      </c>
      <c r="P44" s="77" t="s">
        <v>132</v>
      </c>
    </row>
    <row r="45" spans="1:16" ht="15" customHeight="1" x14ac:dyDescent="0.2">
      <c r="A45" s="87" t="s">
        <v>39</v>
      </c>
      <c r="B45" s="115">
        <v>1232</v>
      </c>
      <c r="C45" s="116">
        <v>638</v>
      </c>
      <c r="D45" s="76">
        <f t="shared" si="6"/>
        <v>51.785714285714292</v>
      </c>
      <c r="E45" s="117">
        <v>624</v>
      </c>
      <c r="F45" s="76">
        <f t="shared" si="7"/>
        <v>50.649350649350644</v>
      </c>
      <c r="G45" s="117">
        <v>956</v>
      </c>
      <c r="H45" s="76">
        <f t="shared" si="8"/>
        <v>77.597402597402592</v>
      </c>
      <c r="I45" s="117">
        <v>575</v>
      </c>
      <c r="J45" s="76">
        <f t="shared" si="9"/>
        <v>46.672077922077918</v>
      </c>
      <c r="K45" s="117">
        <v>647</v>
      </c>
      <c r="L45" s="76">
        <f t="shared" si="10"/>
        <v>52.516233766233768</v>
      </c>
      <c r="M45" s="118">
        <v>1217</v>
      </c>
      <c r="N45" s="117">
        <v>732</v>
      </c>
      <c r="O45" s="76">
        <f t="shared" si="11"/>
        <v>60.147904683648314</v>
      </c>
      <c r="P45" s="77" t="s">
        <v>132</v>
      </c>
    </row>
    <row r="46" spans="1:16" ht="20.100000000000001" customHeight="1" thickBot="1" x14ac:dyDescent="0.25">
      <c r="A46" s="88" t="s">
        <v>40</v>
      </c>
      <c r="B46" s="121">
        <v>1752</v>
      </c>
      <c r="C46" s="122">
        <v>1311</v>
      </c>
      <c r="D46" s="78">
        <f t="shared" si="6"/>
        <v>74.828767123287676</v>
      </c>
      <c r="E46" s="123">
        <v>1313</v>
      </c>
      <c r="F46" s="78">
        <f t="shared" si="7"/>
        <v>74.942922374429216</v>
      </c>
      <c r="G46" s="123">
        <v>1540</v>
      </c>
      <c r="H46" s="78">
        <f t="shared" si="8"/>
        <v>87.899543378995432</v>
      </c>
      <c r="I46" s="123">
        <v>1312</v>
      </c>
      <c r="J46" s="78">
        <f t="shared" si="9"/>
        <v>74.885844748858446</v>
      </c>
      <c r="K46" s="123">
        <v>1312</v>
      </c>
      <c r="L46" s="78">
        <f t="shared" si="10"/>
        <v>74.885844748858446</v>
      </c>
      <c r="M46" s="124">
        <v>1744</v>
      </c>
      <c r="N46" s="123">
        <v>1856</v>
      </c>
      <c r="O46" s="78">
        <f t="shared" si="11"/>
        <v>106.42201834862387</v>
      </c>
      <c r="P46" s="79" t="s">
        <v>132</v>
      </c>
    </row>
    <row r="47" spans="1:16" ht="13.5" thickBot="1" x14ac:dyDescent="0.25">
      <c r="A47" s="80" t="s">
        <v>41</v>
      </c>
      <c r="B47" s="125">
        <f>SUM(B11:B46)</f>
        <v>856212</v>
      </c>
      <c r="C47" s="125">
        <f>SUM(C11:C46)</f>
        <v>796947</v>
      </c>
      <c r="D47" s="29">
        <f t="shared" si="6"/>
        <v>93.078232960995649</v>
      </c>
      <c r="E47" s="125">
        <f>SUM(E11:E46)</f>
        <v>797184</v>
      </c>
      <c r="F47" s="29">
        <f t="shared" si="7"/>
        <v>93.105913021541397</v>
      </c>
      <c r="G47" s="125">
        <f>SUM(G11:G46)</f>
        <v>802192</v>
      </c>
      <c r="H47" s="29">
        <f t="shared" si="8"/>
        <v>93.690814891638979</v>
      </c>
      <c r="I47" s="125">
        <f>SUM(I11:I46)</f>
        <v>797009</v>
      </c>
      <c r="J47" s="29">
        <f t="shared" si="9"/>
        <v>93.085474158269207</v>
      </c>
      <c r="K47" s="125">
        <f>SUM(K11:K46)</f>
        <v>795979</v>
      </c>
      <c r="L47" s="29">
        <f t="shared" si="10"/>
        <v>92.965176848724383</v>
      </c>
      <c r="M47" s="125">
        <f>SUM(M11:M46)</f>
        <v>862726</v>
      </c>
      <c r="N47" s="125">
        <f>SUM(N11:N46)</f>
        <v>810510</v>
      </c>
      <c r="O47" s="29">
        <f t="shared" si="11"/>
        <v>93.947556930010222</v>
      </c>
      <c r="P47" s="81"/>
    </row>
    <row r="48" spans="1:16" ht="13.5" thickBot="1" x14ac:dyDescent="0.25">
      <c r="A48" s="36" t="s">
        <v>133</v>
      </c>
      <c r="B48" s="82"/>
      <c r="C48" s="86"/>
      <c r="D48" s="38"/>
      <c r="E48" s="82"/>
      <c r="F48" s="83"/>
      <c r="G48" s="82"/>
      <c r="H48" s="83"/>
      <c r="I48" s="82"/>
      <c r="J48" s="83"/>
      <c r="K48" s="82"/>
      <c r="L48" s="83"/>
      <c r="M48" s="82"/>
      <c r="N48" s="82"/>
      <c r="O48" s="83"/>
      <c r="P48" s="84"/>
    </row>
  </sheetData>
  <mergeCells count="7">
    <mergeCell ref="A8:P8"/>
    <mergeCell ref="C9:D9"/>
    <mergeCell ref="E9:F9"/>
    <mergeCell ref="G9:H9"/>
    <mergeCell ref="I9:J9"/>
    <mergeCell ref="K9:L9"/>
    <mergeCell ref="N9:O9"/>
  </mergeCells>
  <phoneticPr fontId="0" type="noConversion"/>
  <printOptions horizontalCentered="1" verticalCentered="1"/>
  <pageMargins left="0.27559055118110237" right="0.27559055118110237" top="0.96" bottom="0.39370078740157483" header="0" footer="0"/>
  <pageSetup scale="85" orientation="landscape" horizontalDpi="4294967295" verticalDpi="4294967295" r:id="rId1"/>
  <headerFooter alignWithMargins="0">
    <oddHeader>&amp;L     &amp;G&amp;C&amp;"Arial,Negrita"
Ministerio de la Protección Social
República de Colombia
Dirección General de Salud Pública
Programa Ampliado de Inmunizaciones - PAI&amp;R&amp;G</oddHeader>
    <oddFooter>&amp;C&amp;F&amp;R&amp;D - Página &amp;P</oddFooter>
  </headerFooter>
  <drawing r:id="rId2"/>
  <legacyDrawingHF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6"/>
  </sheetPr>
  <dimension ref="A5:T48"/>
  <sheetViews>
    <sheetView zoomScale="90" zoomScaleNormal="90" workbookViewId="0">
      <pane xSplit="2" ySplit="10" topLeftCell="C11" activePane="bottomRight" state="frozen"/>
      <selection activeCell="A4" sqref="A4"/>
      <selection pane="topRight" activeCell="A4" sqref="A4"/>
      <selection pane="bottomLeft" activeCell="A4" sqref="A4"/>
      <selection pane="bottomRight" activeCell="C11" sqref="C11"/>
    </sheetView>
  </sheetViews>
  <sheetFormatPr baseColWidth="10" defaultRowHeight="12.75" x14ac:dyDescent="0.2"/>
  <cols>
    <col min="1" max="1" width="22.85546875" style="17" customWidth="1"/>
    <col min="2" max="2" width="12.28515625" style="17" bestFit="1" customWidth="1"/>
    <col min="3" max="3" width="8.5703125" style="17" customWidth="1"/>
    <col min="4" max="4" width="7.85546875" style="17" customWidth="1"/>
    <col min="5" max="5" width="8.5703125" style="17" customWidth="1"/>
    <col min="6" max="6" width="6.5703125" style="17" customWidth="1"/>
    <col min="7" max="7" width="8.140625" style="17" customWidth="1"/>
    <col min="8" max="8" width="6.42578125" style="17" customWidth="1"/>
    <col min="9" max="9" width="8.140625" style="17" customWidth="1"/>
    <col min="10" max="10" width="6.42578125" style="17" customWidth="1"/>
    <col min="11" max="11" width="8.140625" style="17" customWidth="1"/>
    <col min="12" max="12" width="5.85546875" style="17" customWidth="1"/>
    <col min="13" max="13" width="10.7109375" style="17" bestFit="1" customWidth="1"/>
    <col min="14" max="14" width="7.85546875" style="17" customWidth="1"/>
    <col min="15" max="15" width="6" style="17" customWidth="1"/>
    <col min="16" max="16" width="8" style="17" bestFit="1" customWidth="1"/>
    <col min="17" max="16384" width="11.42578125" style="17"/>
  </cols>
  <sheetData>
    <row r="5" spans="1:20" x14ac:dyDescent="0.2">
      <c r="A5" s="702" t="s">
        <v>305</v>
      </c>
      <c r="B5" s="753" t="s">
        <v>317</v>
      </c>
    </row>
    <row r="6" spans="1:20" x14ac:dyDescent="0.2">
      <c r="A6" s="702" t="s">
        <v>306</v>
      </c>
      <c r="B6" s="776">
        <v>39092</v>
      </c>
    </row>
    <row r="7" spans="1:20" x14ac:dyDescent="0.2">
      <c r="A7" s="702" t="s">
        <v>307</v>
      </c>
      <c r="B7" s="766" t="s">
        <v>312</v>
      </c>
    </row>
    <row r="8" spans="1:20" ht="19.5" customHeight="1" thickBot="1" x14ac:dyDescent="0.25">
      <c r="A8" s="1863" t="s">
        <v>134</v>
      </c>
      <c r="B8" s="1863"/>
      <c r="C8" s="1863"/>
      <c r="D8" s="1863"/>
      <c r="E8" s="1863"/>
      <c r="F8" s="1863"/>
      <c r="G8" s="1863"/>
      <c r="H8" s="1863"/>
      <c r="I8" s="1863"/>
      <c r="J8" s="1863"/>
      <c r="K8" s="1863"/>
      <c r="L8" s="1863"/>
      <c r="M8" s="1863"/>
      <c r="N8" s="1863"/>
      <c r="O8" s="1863"/>
      <c r="P8" s="1863"/>
    </row>
    <row r="9" spans="1:20" ht="17.25" customHeight="1" thickBot="1" x14ac:dyDescent="0.25">
      <c r="A9" s="1878" t="s">
        <v>79</v>
      </c>
      <c r="B9" s="127" t="s">
        <v>53</v>
      </c>
      <c r="C9" s="1874" t="s">
        <v>3</v>
      </c>
      <c r="D9" s="1880"/>
      <c r="E9" s="1881" t="s">
        <v>6</v>
      </c>
      <c r="F9" s="1880"/>
      <c r="G9" s="1881" t="s">
        <v>7</v>
      </c>
      <c r="H9" s="1882"/>
      <c r="I9" s="1883" t="s">
        <v>54</v>
      </c>
      <c r="J9" s="1880"/>
      <c r="K9" s="1881" t="s">
        <v>89</v>
      </c>
      <c r="L9" s="1880"/>
      <c r="M9" s="128" t="s">
        <v>81</v>
      </c>
      <c r="N9" s="1874" t="s">
        <v>90</v>
      </c>
      <c r="O9" s="1880"/>
      <c r="P9" s="129" t="s">
        <v>82</v>
      </c>
      <c r="S9" s="130"/>
      <c r="T9" s="130"/>
    </row>
    <row r="10" spans="1:20" ht="15.75" customHeight="1" thickBot="1" x14ac:dyDescent="0.25">
      <c r="A10" s="1879"/>
      <c r="B10" s="110" t="s">
        <v>74</v>
      </c>
      <c r="C10" s="106" t="s">
        <v>83</v>
      </c>
      <c r="D10" s="106" t="s">
        <v>5</v>
      </c>
      <c r="E10" s="106" t="s">
        <v>83</v>
      </c>
      <c r="F10" s="106" t="s">
        <v>5</v>
      </c>
      <c r="G10" s="106" t="s">
        <v>91</v>
      </c>
      <c r="H10" s="106" t="s">
        <v>5</v>
      </c>
      <c r="I10" s="106" t="s">
        <v>83</v>
      </c>
      <c r="J10" s="106" t="s">
        <v>5</v>
      </c>
      <c r="K10" s="131" t="s">
        <v>83</v>
      </c>
      <c r="L10" s="106" t="s">
        <v>5</v>
      </c>
      <c r="M10" s="112" t="s">
        <v>92</v>
      </c>
      <c r="N10" s="131" t="s">
        <v>91</v>
      </c>
      <c r="O10" s="106" t="s">
        <v>5</v>
      </c>
      <c r="P10" s="110" t="s">
        <v>85</v>
      </c>
      <c r="S10" s="130"/>
      <c r="T10" s="130"/>
    </row>
    <row r="11" spans="1:20" ht="15" customHeight="1" x14ac:dyDescent="0.2">
      <c r="A11" s="87" t="s">
        <v>12</v>
      </c>
      <c r="B11" s="180">
        <v>2035</v>
      </c>
      <c r="C11" s="138">
        <v>1779</v>
      </c>
      <c r="D11" s="139">
        <f t="shared" ref="D11:D47" si="0">(C11/B11)*100</f>
        <v>87.420147420147416</v>
      </c>
      <c r="E11" s="140">
        <v>1779</v>
      </c>
      <c r="F11" s="139">
        <f t="shared" ref="F11:F47" si="1">(E11/B11)*100</f>
        <v>87.420147420147416</v>
      </c>
      <c r="G11" s="140">
        <v>1553</v>
      </c>
      <c r="H11" s="139">
        <f t="shared" ref="H11:H47" si="2">(G11/B11)*100</f>
        <v>76.31449631449631</v>
      </c>
      <c r="I11" s="140">
        <v>1779</v>
      </c>
      <c r="J11" s="139">
        <f t="shared" ref="J11:J47" si="3">(I11/B11)*100</f>
        <v>87.420147420147416</v>
      </c>
      <c r="K11" s="140">
        <v>1782</v>
      </c>
      <c r="L11" s="139">
        <f t="shared" ref="L11:L47" si="4">(K11/B11)*100</f>
        <v>87.567567567567579</v>
      </c>
      <c r="M11" s="181">
        <v>1976</v>
      </c>
      <c r="N11" s="140">
        <v>1781</v>
      </c>
      <c r="O11" s="139">
        <f t="shared" ref="O11:O47" si="5">(N11/M11)*100</f>
        <v>90.131578947368425</v>
      </c>
      <c r="P11" s="141" t="s">
        <v>135</v>
      </c>
      <c r="S11" s="130"/>
      <c r="T11" s="130"/>
    </row>
    <row r="12" spans="1:20" ht="15" customHeight="1" x14ac:dyDescent="0.2">
      <c r="A12" s="132" t="s">
        <v>11</v>
      </c>
      <c r="B12" s="179">
        <v>102580</v>
      </c>
      <c r="C12" s="133">
        <v>85833</v>
      </c>
      <c r="D12" s="134">
        <f t="shared" si="0"/>
        <v>83.674205498147785</v>
      </c>
      <c r="E12" s="135">
        <v>85558</v>
      </c>
      <c r="F12" s="136">
        <f t="shared" si="1"/>
        <v>83.406122051082093</v>
      </c>
      <c r="G12" s="135">
        <v>94505</v>
      </c>
      <c r="H12" s="136">
        <f t="shared" si="2"/>
        <v>92.128095145252487</v>
      </c>
      <c r="I12" s="135">
        <v>86434</v>
      </c>
      <c r="J12" s="136">
        <f t="shared" si="3"/>
        <v>84.260089686098652</v>
      </c>
      <c r="K12" s="135">
        <v>86118</v>
      </c>
      <c r="L12" s="136">
        <f t="shared" si="4"/>
        <v>83.952037434197706</v>
      </c>
      <c r="M12" s="179">
        <v>103049</v>
      </c>
      <c r="N12" s="135">
        <v>94398</v>
      </c>
      <c r="O12" s="136">
        <f t="shared" si="5"/>
        <v>91.604964628477717</v>
      </c>
      <c r="P12" s="137" t="s">
        <v>135</v>
      </c>
      <c r="S12" s="130"/>
      <c r="T12" s="130"/>
    </row>
    <row r="13" spans="1:20" ht="15" customHeight="1" x14ac:dyDescent="0.2">
      <c r="A13" s="87" t="s">
        <v>13</v>
      </c>
      <c r="B13" s="181">
        <v>6964</v>
      </c>
      <c r="C13" s="138">
        <v>6531</v>
      </c>
      <c r="D13" s="139">
        <f t="shared" si="0"/>
        <v>93.782309017805858</v>
      </c>
      <c r="E13" s="140">
        <v>6531</v>
      </c>
      <c r="F13" s="139">
        <f t="shared" si="1"/>
        <v>93.782309017805858</v>
      </c>
      <c r="G13" s="140">
        <v>6292</v>
      </c>
      <c r="H13" s="139">
        <f t="shared" si="2"/>
        <v>90.350373348650209</v>
      </c>
      <c r="I13" s="140">
        <v>6594</v>
      </c>
      <c r="J13" s="139">
        <f t="shared" si="3"/>
        <v>94.686961516369905</v>
      </c>
      <c r="K13" s="140">
        <v>6532</v>
      </c>
      <c r="L13" s="139">
        <f t="shared" si="4"/>
        <v>93.796668581275128</v>
      </c>
      <c r="M13" s="181">
        <v>7089</v>
      </c>
      <c r="N13" s="140">
        <v>6033</v>
      </c>
      <c r="O13" s="139">
        <f t="shared" si="5"/>
        <v>85.103681760473975</v>
      </c>
      <c r="P13" s="141" t="s">
        <v>135</v>
      </c>
      <c r="S13" s="130"/>
      <c r="T13" s="130"/>
    </row>
    <row r="14" spans="1:20" ht="15" customHeight="1" x14ac:dyDescent="0.2">
      <c r="A14" s="87" t="s">
        <v>14</v>
      </c>
      <c r="B14" s="180">
        <v>22308</v>
      </c>
      <c r="C14" s="138">
        <v>16235</v>
      </c>
      <c r="D14" s="139">
        <f t="shared" si="0"/>
        <v>72.776582391966997</v>
      </c>
      <c r="E14" s="140">
        <v>16339</v>
      </c>
      <c r="F14" s="139">
        <f t="shared" si="1"/>
        <v>73.242782858167473</v>
      </c>
      <c r="G14" s="140">
        <v>16041</v>
      </c>
      <c r="H14" s="139">
        <f t="shared" si="2"/>
        <v>71.906939214631521</v>
      </c>
      <c r="I14" s="140">
        <v>16337</v>
      </c>
      <c r="J14" s="139">
        <f t="shared" si="3"/>
        <v>73.233817464586693</v>
      </c>
      <c r="K14" s="140">
        <v>16336</v>
      </c>
      <c r="L14" s="139">
        <f t="shared" si="4"/>
        <v>73.229334767796303</v>
      </c>
      <c r="M14" s="181">
        <v>23024</v>
      </c>
      <c r="N14" s="140">
        <v>18787</v>
      </c>
      <c r="O14" s="139">
        <f t="shared" si="5"/>
        <v>81.597463516330777</v>
      </c>
      <c r="P14" s="141" t="s">
        <v>135</v>
      </c>
      <c r="S14" s="130"/>
      <c r="T14" s="130"/>
    </row>
    <row r="15" spans="1:20" ht="15" customHeight="1" x14ac:dyDescent="0.2">
      <c r="A15" s="92" t="s">
        <v>115</v>
      </c>
      <c r="B15" s="180">
        <v>21404</v>
      </c>
      <c r="C15" s="138">
        <v>26842</v>
      </c>
      <c r="D15" s="139">
        <f t="shared" si="0"/>
        <v>125.40646608110633</v>
      </c>
      <c r="E15" s="140">
        <v>27124</v>
      </c>
      <c r="F15" s="139">
        <f t="shared" si="1"/>
        <v>126.72397682676136</v>
      </c>
      <c r="G15" s="140">
        <v>32845</v>
      </c>
      <c r="H15" s="139">
        <f t="shared" si="2"/>
        <v>153.45262567744348</v>
      </c>
      <c r="I15" s="140">
        <v>27127</v>
      </c>
      <c r="J15" s="139">
        <f t="shared" si="3"/>
        <v>126.73799289852363</v>
      </c>
      <c r="K15" s="140">
        <v>27124</v>
      </c>
      <c r="L15" s="139">
        <f t="shared" si="4"/>
        <v>126.72397682676136</v>
      </c>
      <c r="M15" s="181">
        <v>21307</v>
      </c>
      <c r="N15" s="140">
        <v>28196</v>
      </c>
      <c r="O15" s="139">
        <f t="shared" si="5"/>
        <v>132.33209743276856</v>
      </c>
      <c r="P15" s="141" t="s">
        <v>135</v>
      </c>
      <c r="S15" s="130"/>
      <c r="T15" s="130"/>
    </row>
    <row r="16" spans="1:20" ht="15" customHeight="1" x14ac:dyDescent="0.2">
      <c r="A16" s="87" t="s">
        <v>15</v>
      </c>
      <c r="B16" s="181">
        <v>117309</v>
      </c>
      <c r="C16" s="138">
        <v>108705</v>
      </c>
      <c r="D16" s="139">
        <f t="shared" si="0"/>
        <v>92.665524384318346</v>
      </c>
      <c r="E16" s="140">
        <v>108644</v>
      </c>
      <c r="F16" s="139">
        <f t="shared" si="1"/>
        <v>92.613524963984005</v>
      </c>
      <c r="G16" s="140">
        <v>121280</v>
      </c>
      <c r="H16" s="139">
        <f t="shared" si="2"/>
        <v>103.38507701881356</v>
      </c>
      <c r="I16" s="140">
        <v>108733</v>
      </c>
      <c r="J16" s="139">
        <f t="shared" si="3"/>
        <v>92.689392970701306</v>
      </c>
      <c r="K16" s="140">
        <v>108806</v>
      </c>
      <c r="L16" s="139">
        <f t="shared" si="4"/>
        <v>92.751621785199774</v>
      </c>
      <c r="M16" s="181">
        <v>116801</v>
      </c>
      <c r="N16" s="140">
        <v>110710</v>
      </c>
      <c r="O16" s="139">
        <f t="shared" si="5"/>
        <v>94.785147387436751</v>
      </c>
      <c r="P16" s="141" t="s">
        <v>135</v>
      </c>
      <c r="S16" s="130"/>
      <c r="T16" s="130"/>
    </row>
    <row r="17" spans="1:20" ht="15" customHeight="1" x14ac:dyDescent="0.2">
      <c r="A17" s="87" t="s">
        <v>62</v>
      </c>
      <c r="B17" s="180">
        <v>24072</v>
      </c>
      <c r="C17" s="138">
        <v>23439</v>
      </c>
      <c r="D17" s="139">
        <f t="shared" si="0"/>
        <v>97.370388833499504</v>
      </c>
      <c r="E17" s="140">
        <v>23409</v>
      </c>
      <c r="F17" s="139">
        <f t="shared" si="1"/>
        <v>97.245762711864401</v>
      </c>
      <c r="G17" s="140">
        <v>22631</v>
      </c>
      <c r="H17" s="139">
        <f t="shared" si="2"/>
        <v>94.013791957460953</v>
      </c>
      <c r="I17" s="140">
        <v>23420</v>
      </c>
      <c r="J17" s="139">
        <f t="shared" si="3"/>
        <v>97.291458956463941</v>
      </c>
      <c r="K17" s="140">
        <v>23475</v>
      </c>
      <c r="L17" s="139">
        <f t="shared" si="4"/>
        <v>97.519940179461614</v>
      </c>
      <c r="M17" s="181">
        <v>24155</v>
      </c>
      <c r="N17" s="140">
        <v>21968</v>
      </c>
      <c r="O17" s="139">
        <f t="shared" si="5"/>
        <v>90.945973918443386</v>
      </c>
      <c r="P17" s="141" t="s">
        <v>135</v>
      </c>
      <c r="S17" s="130"/>
      <c r="T17" s="130"/>
    </row>
    <row r="18" spans="1:20" ht="15" customHeight="1" x14ac:dyDescent="0.2">
      <c r="A18" s="87" t="s">
        <v>45</v>
      </c>
      <c r="B18" s="180">
        <v>17564</v>
      </c>
      <c r="C18" s="138">
        <v>23753</v>
      </c>
      <c r="D18" s="139">
        <f t="shared" si="0"/>
        <v>135.23684809838306</v>
      </c>
      <c r="E18" s="140">
        <v>22927</v>
      </c>
      <c r="F18" s="139">
        <f t="shared" si="1"/>
        <v>130.53404691414258</v>
      </c>
      <c r="G18" s="140">
        <v>21438</v>
      </c>
      <c r="H18" s="139">
        <f t="shared" si="2"/>
        <v>122.0564791619221</v>
      </c>
      <c r="I18" s="140">
        <v>22927</v>
      </c>
      <c r="J18" s="139">
        <f t="shared" si="3"/>
        <v>130.53404691414258</v>
      </c>
      <c r="K18" s="140">
        <v>22927</v>
      </c>
      <c r="L18" s="139">
        <f t="shared" si="4"/>
        <v>130.53404691414258</v>
      </c>
      <c r="M18" s="181">
        <v>17263</v>
      </c>
      <c r="N18" s="140">
        <v>24576</v>
      </c>
      <c r="O18" s="139">
        <f t="shared" si="5"/>
        <v>142.36227770375947</v>
      </c>
      <c r="P18" s="141" t="s">
        <v>135</v>
      </c>
      <c r="S18" s="130"/>
      <c r="T18" s="130"/>
    </row>
    <row r="19" spans="1:20" ht="15" customHeight="1" x14ac:dyDescent="0.2">
      <c r="A19" s="87" t="s">
        <v>17</v>
      </c>
      <c r="B19" s="181">
        <v>24651</v>
      </c>
      <c r="C19" s="138">
        <v>21717</v>
      </c>
      <c r="D19" s="139">
        <f t="shared" si="0"/>
        <v>88.097845929171228</v>
      </c>
      <c r="E19" s="140">
        <v>21590</v>
      </c>
      <c r="F19" s="139">
        <f t="shared" si="1"/>
        <v>87.582653847714084</v>
      </c>
      <c r="G19" s="140">
        <v>21746</v>
      </c>
      <c r="H19" s="139">
        <f t="shared" si="2"/>
        <v>88.215488215488207</v>
      </c>
      <c r="I19" s="140">
        <v>21590</v>
      </c>
      <c r="J19" s="139">
        <f t="shared" si="3"/>
        <v>87.582653847714084</v>
      </c>
      <c r="K19" s="140">
        <v>21590</v>
      </c>
      <c r="L19" s="139">
        <f t="shared" si="4"/>
        <v>87.582653847714084</v>
      </c>
      <c r="M19" s="181">
        <v>24983</v>
      </c>
      <c r="N19" s="140">
        <v>22161</v>
      </c>
      <c r="O19" s="139">
        <f t="shared" si="5"/>
        <v>88.704318936877087</v>
      </c>
      <c r="P19" s="141" t="s">
        <v>135</v>
      </c>
      <c r="S19" s="130"/>
      <c r="T19" s="130"/>
    </row>
    <row r="20" spans="1:20" ht="15" customHeight="1" x14ac:dyDescent="0.2">
      <c r="A20" s="87" t="s">
        <v>19</v>
      </c>
      <c r="B20" s="181">
        <v>17139</v>
      </c>
      <c r="C20" s="138">
        <v>14685</v>
      </c>
      <c r="D20" s="139">
        <f t="shared" si="0"/>
        <v>85.681778400140033</v>
      </c>
      <c r="E20" s="140">
        <v>14645</v>
      </c>
      <c r="F20" s="139">
        <f t="shared" si="1"/>
        <v>85.448392554991543</v>
      </c>
      <c r="G20" s="140">
        <v>13699</v>
      </c>
      <c r="H20" s="139">
        <f t="shared" si="2"/>
        <v>79.928817317229701</v>
      </c>
      <c r="I20" s="140">
        <v>14645</v>
      </c>
      <c r="J20" s="139">
        <f t="shared" si="3"/>
        <v>85.448392554991543</v>
      </c>
      <c r="K20" s="140">
        <v>14718</v>
      </c>
      <c r="L20" s="139">
        <f t="shared" si="4"/>
        <v>85.874321722387535</v>
      </c>
      <c r="M20" s="181">
        <v>17123</v>
      </c>
      <c r="N20" s="140">
        <v>15762</v>
      </c>
      <c r="O20" s="139">
        <f t="shared" si="5"/>
        <v>92.051626467324652</v>
      </c>
      <c r="P20" s="141" t="s">
        <v>135</v>
      </c>
      <c r="S20" s="130"/>
      <c r="T20" s="130"/>
    </row>
    <row r="21" spans="1:20" ht="15" customHeight="1" x14ac:dyDescent="0.2">
      <c r="A21" s="87" t="s">
        <v>63</v>
      </c>
      <c r="B21" s="181">
        <v>10992</v>
      </c>
      <c r="C21" s="138">
        <v>10972</v>
      </c>
      <c r="D21" s="139">
        <f t="shared" si="0"/>
        <v>99.81804949053857</v>
      </c>
      <c r="E21" s="140">
        <v>11001</v>
      </c>
      <c r="F21" s="139">
        <f t="shared" si="1"/>
        <v>100.08187772925766</v>
      </c>
      <c r="G21" s="140">
        <v>10919</v>
      </c>
      <c r="H21" s="139">
        <f t="shared" si="2"/>
        <v>99.335880640465788</v>
      </c>
      <c r="I21" s="140">
        <v>10947</v>
      </c>
      <c r="J21" s="139">
        <f t="shared" si="3"/>
        <v>99.590611353711793</v>
      </c>
      <c r="K21" s="140">
        <v>10760</v>
      </c>
      <c r="L21" s="139">
        <f t="shared" si="4"/>
        <v>97.889374090247443</v>
      </c>
      <c r="M21" s="181">
        <v>11095</v>
      </c>
      <c r="N21" s="140">
        <v>10451</v>
      </c>
      <c r="O21" s="139">
        <f t="shared" si="5"/>
        <v>94.195583596214519</v>
      </c>
      <c r="P21" s="141" t="s">
        <v>135</v>
      </c>
      <c r="S21" s="130"/>
      <c r="T21" s="130"/>
    </row>
    <row r="22" spans="1:20" ht="15" customHeight="1" x14ac:dyDescent="0.2">
      <c r="A22" s="87" t="s">
        <v>21</v>
      </c>
      <c r="B22" s="181">
        <v>7004</v>
      </c>
      <c r="C22" s="138">
        <v>6935</v>
      </c>
      <c r="D22" s="139">
        <f t="shared" si="0"/>
        <v>99.014848657909766</v>
      </c>
      <c r="E22" s="140">
        <v>6909</v>
      </c>
      <c r="F22" s="139">
        <f t="shared" si="1"/>
        <v>98.64363221016562</v>
      </c>
      <c r="G22" s="140">
        <v>7266</v>
      </c>
      <c r="H22" s="139">
        <f t="shared" si="2"/>
        <v>103.7407195888064</v>
      </c>
      <c r="I22" s="140">
        <v>6909</v>
      </c>
      <c r="J22" s="139">
        <f t="shared" si="3"/>
        <v>98.64363221016562</v>
      </c>
      <c r="K22" s="140">
        <v>6906</v>
      </c>
      <c r="L22" s="139">
        <f t="shared" si="4"/>
        <v>98.600799543118228</v>
      </c>
      <c r="M22" s="181">
        <v>7040</v>
      </c>
      <c r="N22" s="140">
        <v>7059</v>
      </c>
      <c r="O22" s="139">
        <f t="shared" si="5"/>
        <v>100.26988636363636</v>
      </c>
      <c r="P22" s="141" t="s">
        <v>135</v>
      </c>
      <c r="S22" s="130"/>
      <c r="T22" s="130"/>
    </row>
    <row r="23" spans="1:20" ht="15" customHeight="1" x14ac:dyDescent="0.2">
      <c r="A23" s="87" t="s">
        <v>18</v>
      </c>
      <c r="B23" s="181">
        <v>26208</v>
      </c>
      <c r="C23" s="138">
        <v>23848</v>
      </c>
      <c r="D23" s="139">
        <f t="shared" si="0"/>
        <v>90.995115995115995</v>
      </c>
      <c r="E23" s="140">
        <v>23379</v>
      </c>
      <c r="F23" s="139">
        <f t="shared" si="1"/>
        <v>89.205586080586087</v>
      </c>
      <c r="G23" s="140">
        <v>22764</v>
      </c>
      <c r="H23" s="139">
        <f t="shared" si="2"/>
        <v>86.858974358974365</v>
      </c>
      <c r="I23" s="140">
        <v>23339</v>
      </c>
      <c r="J23" s="139">
        <f t="shared" si="3"/>
        <v>89.052960927960925</v>
      </c>
      <c r="K23" s="140">
        <v>23547</v>
      </c>
      <c r="L23" s="139">
        <f t="shared" si="4"/>
        <v>89.846611721611723</v>
      </c>
      <c r="M23" s="181">
        <v>26487</v>
      </c>
      <c r="N23" s="140">
        <v>23831</v>
      </c>
      <c r="O23" s="139">
        <f t="shared" si="5"/>
        <v>89.972439309850117</v>
      </c>
      <c r="P23" s="141" t="s">
        <v>135</v>
      </c>
      <c r="S23" s="130"/>
      <c r="T23" s="130"/>
    </row>
    <row r="24" spans="1:20" ht="15" customHeight="1" x14ac:dyDescent="0.2">
      <c r="A24" s="87" t="s">
        <v>22</v>
      </c>
      <c r="B24" s="181">
        <v>22470</v>
      </c>
      <c r="C24" s="138">
        <v>24939</v>
      </c>
      <c r="D24" s="139">
        <f t="shared" si="0"/>
        <v>110.98798397863818</v>
      </c>
      <c r="E24" s="140">
        <v>24939</v>
      </c>
      <c r="F24" s="139">
        <f t="shared" si="1"/>
        <v>110.98798397863818</v>
      </c>
      <c r="G24" s="140">
        <v>27775</v>
      </c>
      <c r="H24" s="139">
        <f t="shared" si="2"/>
        <v>123.60925678682688</v>
      </c>
      <c r="I24" s="140">
        <v>24965</v>
      </c>
      <c r="J24" s="139">
        <f t="shared" si="3"/>
        <v>111.10369381397417</v>
      </c>
      <c r="K24" s="140">
        <v>24938</v>
      </c>
      <c r="L24" s="139">
        <f t="shared" si="4"/>
        <v>110.98353360035603</v>
      </c>
      <c r="M24" s="181">
        <v>22525</v>
      </c>
      <c r="N24" s="140">
        <v>24958</v>
      </c>
      <c r="O24" s="139">
        <f t="shared" si="5"/>
        <v>110.80133185349612</v>
      </c>
      <c r="P24" s="141" t="s">
        <v>135</v>
      </c>
      <c r="S24" s="130"/>
      <c r="T24" s="130"/>
    </row>
    <row r="25" spans="1:20" ht="15" customHeight="1" x14ac:dyDescent="0.2">
      <c r="A25" s="87" t="s">
        <v>24</v>
      </c>
      <c r="B25" s="181">
        <v>13624</v>
      </c>
      <c r="C25" s="138">
        <v>9228</v>
      </c>
      <c r="D25" s="139">
        <f t="shared" si="0"/>
        <v>67.733411626541397</v>
      </c>
      <c r="E25" s="140">
        <v>8942</v>
      </c>
      <c r="F25" s="139">
        <f t="shared" si="1"/>
        <v>65.63417498532003</v>
      </c>
      <c r="G25" s="140">
        <v>10078</v>
      </c>
      <c r="H25" s="139">
        <f t="shared" si="2"/>
        <v>73.972401644157372</v>
      </c>
      <c r="I25" s="140">
        <v>8947</v>
      </c>
      <c r="J25" s="139">
        <f t="shared" si="3"/>
        <v>65.670874926600121</v>
      </c>
      <c r="K25" s="140">
        <v>9003</v>
      </c>
      <c r="L25" s="139">
        <f t="shared" si="4"/>
        <v>66.081914268937169</v>
      </c>
      <c r="M25" s="181">
        <v>13458</v>
      </c>
      <c r="N25" s="140">
        <v>10283</v>
      </c>
      <c r="O25" s="139">
        <f t="shared" si="5"/>
        <v>76.4080844107594</v>
      </c>
      <c r="P25" s="141" t="s">
        <v>135</v>
      </c>
      <c r="S25" s="130"/>
      <c r="T25" s="130"/>
    </row>
    <row r="26" spans="1:20" ht="15" customHeight="1" x14ac:dyDescent="0.2">
      <c r="A26" s="87" t="s">
        <v>64</v>
      </c>
      <c r="B26" s="181">
        <v>35555</v>
      </c>
      <c r="C26" s="138">
        <v>31362</v>
      </c>
      <c r="D26" s="139">
        <f t="shared" si="0"/>
        <v>88.207003234425542</v>
      </c>
      <c r="E26" s="140">
        <v>31124</v>
      </c>
      <c r="F26" s="139">
        <f t="shared" si="1"/>
        <v>87.537617775277738</v>
      </c>
      <c r="G26" s="140">
        <v>33065</v>
      </c>
      <c r="H26" s="139">
        <f t="shared" si="2"/>
        <v>92.996765574462103</v>
      </c>
      <c r="I26" s="140">
        <v>31327</v>
      </c>
      <c r="J26" s="139">
        <f t="shared" si="3"/>
        <v>88.108564196315569</v>
      </c>
      <c r="K26" s="140">
        <v>31159</v>
      </c>
      <c r="L26" s="139">
        <f t="shared" si="4"/>
        <v>87.636056813387711</v>
      </c>
      <c r="M26" s="181">
        <v>35368</v>
      </c>
      <c r="N26" s="140">
        <v>31013</v>
      </c>
      <c r="O26" s="139">
        <f t="shared" si="5"/>
        <v>87.686609364397199</v>
      </c>
      <c r="P26" s="141" t="s">
        <v>135</v>
      </c>
      <c r="S26" s="130"/>
      <c r="T26" s="130"/>
    </row>
    <row r="27" spans="1:20" ht="15" customHeight="1" x14ac:dyDescent="0.2">
      <c r="A27" s="92" t="s">
        <v>122</v>
      </c>
      <c r="B27" s="181">
        <v>45053</v>
      </c>
      <c r="C27" s="138">
        <v>38302</v>
      </c>
      <c r="D27" s="139">
        <f t="shared" si="0"/>
        <v>85.015426275719705</v>
      </c>
      <c r="E27" s="140">
        <v>38302</v>
      </c>
      <c r="F27" s="139">
        <f t="shared" si="1"/>
        <v>85.015426275719705</v>
      </c>
      <c r="G27" s="140">
        <v>38092</v>
      </c>
      <c r="H27" s="139">
        <f t="shared" si="2"/>
        <v>84.549308592102633</v>
      </c>
      <c r="I27" s="140">
        <v>38302</v>
      </c>
      <c r="J27" s="139">
        <f t="shared" si="3"/>
        <v>85.015426275719705</v>
      </c>
      <c r="K27" s="140">
        <v>38302</v>
      </c>
      <c r="L27" s="139">
        <f t="shared" si="4"/>
        <v>85.015426275719705</v>
      </c>
      <c r="M27" s="181">
        <v>44986</v>
      </c>
      <c r="N27" s="140">
        <v>37775</v>
      </c>
      <c r="O27" s="139">
        <f t="shared" si="5"/>
        <v>83.97056862134886</v>
      </c>
      <c r="P27" s="141" t="s">
        <v>135</v>
      </c>
      <c r="S27" s="130"/>
      <c r="T27" s="130"/>
    </row>
    <row r="28" spans="1:20" ht="15" customHeight="1" x14ac:dyDescent="0.2">
      <c r="A28" s="87" t="s">
        <v>65</v>
      </c>
      <c r="B28" s="180">
        <v>976</v>
      </c>
      <c r="C28" s="138">
        <v>761</v>
      </c>
      <c r="D28" s="139">
        <f t="shared" si="0"/>
        <v>77.971311475409834</v>
      </c>
      <c r="E28" s="140">
        <v>766</v>
      </c>
      <c r="F28" s="139">
        <f t="shared" si="1"/>
        <v>78.483606557377044</v>
      </c>
      <c r="G28" s="140">
        <v>1127</v>
      </c>
      <c r="H28" s="139">
        <f t="shared" si="2"/>
        <v>115.47131147540983</v>
      </c>
      <c r="I28" s="140">
        <v>766</v>
      </c>
      <c r="J28" s="139">
        <f t="shared" si="3"/>
        <v>78.483606557377044</v>
      </c>
      <c r="K28" s="140">
        <v>766</v>
      </c>
      <c r="L28" s="139">
        <f t="shared" si="4"/>
        <v>78.483606557377044</v>
      </c>
      <c r="M28" s="181">
        <v>881</v>
      </c>
      <c r="N28" s="140">
        <v>751</v>
      </c>
      <c r="O28" s="139">
        <f t="shared" si="5"/>
        <v>85.244040862656064</v>
      </c>
      <c r="P28" s="141" t="s">
        <v>135</v>
      </c>
      <c r="S28" s="130"/>
      <c r="T28" s="130"/>
    </row>
    <row r="29" spans="1:20" ht="15" customHeight="1" x14ac:dyDescent="0.2">
      <c r="A29" s="87" t="s">
        <v>26</v>
      </c>
      <c r="B29" s="180">
        <v>2788</v>
      </c>
      <c r="C29" s="138">
        <v>2161</v>
      </c>
      <c r="D29" s="139">
        <f t="shared" si="0"/>
        <v>77.510760401721669</v>
      </c>
      <c r="E29" s="140">
        <v>2161</v>
      </c>
      <c r="F29" s="139">
        <f t="shared" si="1"/>
        <v>77.510760401721669</v>
      </c>
      <c r="G29" s="140">
        <v>2208</v>
      </c>
      <c r="H29" s="139">
        <f t="shared" si="2"/>
        <v>79.196556671449073</v>
      </c>
      <c r="I29" s="140">
        <v>2161</v>
      </c>
      <c r="J29" s="139">
        <f t="shared" si="3"/>
        <v>77.510760401721669</v>
      </c>
      <c r="K29" s="140">
        <v>2161</v>
      </c>
      <c r="L29" s="139">
        <f t="shared" si="4"/>
        <v>77.510760401721669</v>
      </c>
      <c r="M29" s="181">
        <v>2841</v>
      </c>
      <c r="N29" s="140">
        <v>2145</v>
      </c>
      <c r="O29" s="139">
        <f t="shared" si="5"/>
        <v>75.501583949313627</v>
      </c>
      <c r="P29" s="141" t="s">
        <v>135</v>
      </c>
      <c r="S29" s="130"/>
      <c r="T29" s="130"/>
    </row>
    <row r="30" spans="1:20" ht="15" customHeight="1" x14ac:dyDescent="0.2">
      <c r="A30" s="87" t="s">
        <v>27</v>
      </c>
      <c r="B30" s="181">
        <v>22415</v>
      </c>
      <c r="C30" s="138">
        <v>22252</v>
      </c>
      <c r="D30" s="139">
        <f t="shared" si="0"/>
        <v>99.272808387240687</v>
      </c>
      <c r="E30" s="140">
        <v>22071</v>
      </c>
      <c r="F30" s="139">
        <f t="shared" si="1"/>
        <v>98.465313406201204</v>
      </c>
      <c r="G30" s="140">
        <v>23147</v>
      </c>
      <c r="H30" s="139">
        <f t="shared" si="2"/>
        <v>103.26567031006022</v>
      </c>
      <c r="I30" s="140">
        <v>22045</v>
      </c>
      <c r="J30" s="139">
        <f t="shared" si="3"/>
        <v>98.349319652018735</v>
      </c>
      <c r="K30" s="140">
        <v>22122</v>
      </c>
      <c r="L30" s="139">
        <f t="shared" si="4"/>
        <v>98.692839616328357</v>
      </c>
      <c r="M30" s="181">
        <v>22399</v>
      </c>
      <c r="N30" s="140">
        <v>22189</v>
      </c>
      <c r="O30" s="139">
        <f t="shared" si="5"/>
        <v>99.062458145452922</v>
      </c>
      <c r="P30" s="141" t="s">
        <v>135</v>
      </c>
      <c r="S30" s="130"/>
      <c r="T30" s="130"/>
    </row>
    <row r="31" spans="1:20" ht="15" customHeight="1" x14ac:dyDescent="0.2">
      <c r="A31" s="92" t="s">
        <v>124</v>
      </c>
      <c r="B31" s="181">
        <v>21561</v>
      </c>
      <c r="C31" s="138">
        <v>13121</v>
      </c>
      <c r="D31" s="139">
        <f t="shared" si="0"/>
        <v>60.855247901303279</v>
      </c>
      <c r="E31" s="140">
        <v>13342</v>
      </c>
      <c r="F31" s="139">
        <f t="shared" si="1"/>
        <v>61.880246741802324</v>
      </c>
      <c r="G31" s="140">
        <v>11868</v>
      </c>
      <c r="H31" s="139">
        <f t="shared" si="2"/>
        <v>55.043829135939895</v>
      </c>
      <c r="I31" s="140">
        <v>13108</v>
      </c>
      <c r="J31" s="139">
        <f t="shared" si="3"/>
        <v>60.794953851862154</v>
      </c>
      <c r="K31" s="140">
        <v>12304</v>
      </c>
      <c r="L31" s="139">
        <f t="shared" si="4"/>
        <v>57.065998794119011</v>
      </c>
      <c r="M31" s="181">
        <v>20957</v>
      </c>
      <c r="N31" s="140">
        <v>12472</v>
      </c>
      <c r="O31" s="139">
        <f t="shared" si="5"/>
        <v>59.512334780741519</v>
      </c>
      <c r="P31" s="141" t="s">
        <v>135</v>
      </c>
      <c r="S31" s="130"/>
      <c r="T31" s="130"/>
    </row>
    <row r="32" spans="1:20" ht="15" customHeight="1" x14ac:dyDescent="0.2">
      <c r="A32" s="142" t="s">
        <v>28</v>
      </c>
      <c r="B32" s="180">
        <v>18689</v>
      </c>
      <c r="C32" s="143">
        <v>22385</v>
      </c>
      <c r="D32" s="144">
        <f t="shared" si="0"/>
        <v>119.77633902295469</v>
      </c>
      <c r="E32" s="145">
        <v>22398</v>
      </c>
      <c r="F32" s="144">
        <f t="shared" si="1"/>
        <v>119.845898656964</v>
      </c>
      <c r="G32" s="145">
        <v>22827</v>
      </c>
      <c r="H32" s="144">
        <f t="shared" si="2"/>
        <v>122.14136657927124</v>
      </c>
      <c r="I32" s="145">
        <v>22398</v>
      </c>
      <c r="J32" s="144">
        <f t="shared" si="3"/>
        <v>119.845898656964</v>
      </c>
      <c r="K32" s="145">
        <v>22394</v>
      </c>
      <c r="L32" s="144">
        <f t="shared" si="4"/>
        <v>119.82449569265343</v>
      </c>
      <c r="M32" s="181">
        <v>18997</v>
      </c>
      <c r="N32" s="145">
        <v>22165</v>
      </c>
      <c r="O32" s="144">
        <f t="shared" si="5"/>
        <v>116.67631731325999</v>
      </c>
      <c r="P32" s="141" t="s">
        <v>135</v>
      </c>
      <c r="S32" s="130"/>
      <c r="T32" s="130"/>
    </row>
    <row r="33" spans="1:20" ht="15" customHeight="1" x14ac:dyDescent="0.2">
      <c r="A33" s="92" t="s">
        <v>127</v>
      </c>
      <c r="B33" s="180">
        <v>9306</v>
      </c>
      <c r="C33" s="138">
        <v>9005</v>
      </c>
      <c r="D33" s="139">
        <f t="shared" si="0"/>
        <v>96.765527616591456</v>
      </c>
      <c r="E33" s="140">
        <v>9562</v>
      </c>
      <c r="F33" s="139">
        <f t="shared" si="1"/>
        <v>102.75091338921125</v>
      </c>
      <c r="G33" s="140">
        <v>9542</v>
      </c>
      <c r="H33" s="139">
        <f t="shared" si="2"/>
        <v>102.53599828067914</v>
      </c>
      <c r="I33" s="140">
        <v>9015</v>
      </c>
      <c r="J33" s="139">
        <f t="shared" si="3"/>
        <v>96.872985170857504</v>
      </c>
      <c r="K33" s="140">
        <v>9015</v>
      </c>
      <c r="L33" s="139">
        <f t="shared" si="4"/>
        <v>96.872985170857504</v>
      </c>
      <c r="M33" s="181">
        <v>9226</v>
      </c>
      <c r="N33" s="140">
        <v>9027</v>
      </c>
      <c r="O33" s="139">
        <f t="shared" si="5"/>
        <v>97.84305224365923</v>
      </c>
      <c r="P33" s="141" t="s">
        <v>135</v>
      </c>
      <c r="S33" s="130"/>
      <c r="T33" s="130"/>
    </row>
    <row r="34" spans="1:20" ht="15" customHeight="1" x14ac:dyDescent="0.2">
      <c r="A34" s="87" t="s">
        <v>29</v>
      </c>
      <c r="B34" s="181">
        <v>17569</v>
      </c>
      <c r="C34" s="138">
        <v>16339</v>
      </c>
      <c r="D34" s="139">
        <f t="shared" si="0"/>
        <v>92.999032386590017</v>
      </c>
      <c r="E34" s="140">
        <v>16239</v>
      </c>
      <c r="F34" s="139">
        <f t="shared" si="1"/>
        <v>92.429848027776202</v>
      </c>
      <c r="G34" s="140">
        <v>16377</v>
      </c>
      <c r="H34" s="139">
        <f t="shared" si="2"/>
        <v>93.215322442939268</v>
      </c>
      <c r="I34" s="140">
        <v>16239</v>
      </c>
      <c r="J34" s="139">
        <f t="shared" si="3"/>
        <v>92.429848027776202</v>
      </c>
      <c r="K34" s="140">
        <v>16239</v>
      </c>
      <c r="L34" s="139">
        <f t="shared" si="4"/>
        <v>92.429848027776202</v>
      </c>
      <c r="M34" s="181">
        <v>17559</v>
      </c>
      <c r="N34" s="140">
        <v>17598</v>
      </c>
      <c r="O34" s="139">
        <f t="shared" si="5"/>
        <v>100.22210832051938</v>
      </c>
      <c r="P34" s="141" t="s">
        <v>135</v>
      </c>
      <c r="S34" s="130"/>
      <c r="T34" s="130"/>
    </row>
    <row r="35" spans="1:20" ht="15" customHeight="1" x14ac:dyDescent="0.2">
      <c r="A35" s="87" t="s">
        <v>30</v>
      </c>
      <c r="B35" s="181">
        <v>33087</v>
      </c>
      <c r="C35" s="138">
        <v>23347</v>
      </c>
      <c r="D35" s="139">
        <f t="shared" si="0"/>
        <v>70.562456553933572</v>
      </c>
      <c r="E35" s="140">
        <v>23657</v>
      </c>
      <c r="F35" s="139">
        <f t="shared" si="1"/>
        <v>71.499380421313504</v>
      </c>
      <c r="G35" s="140">
        <v>23467</v>
      </c>
      <c r="H35" s="139">
        <f t="shared" si="2"/>
        <v>70.925136760661289</v>
      </c>
      <c r="I35" s="140">
        <v>23657</v>
      </c>
      <c r="J35" s="139">
        <f t="shared" si="3"/>
        <v>71.499380421313504</v>
      </c>
      <c r="K35" s="140">
        <v>23657</v>
      </c>
      <c r="L35" s="139">
        <f t="shared" si="4"/>
        <v>71.499380421313504</v>
      </c>
      <c r="M35" s="181">
        <v>33290</v>
      </c>
      <c r="N35" s="140">
        <v>27529</v>
      </c>
      <c r="O35" s="139">
        <f t="shared" si="5"/>
        <v>82.694502853709821</v>
      </c>
      <c r="P35" s="141" t="s">
        <v>135</v>
      </c>
      <c r="S35" s="130"/>
      <c r="T35" s="130"/>
    </row>
    <row r="36" spans="1:20" ht="15" customHeight="1" x14ac:dyDescent="0.2">
      <c r="A36" s="92" t="s">
        <v>125</v>
      </c>
      <c r="B36" s="181">
        <v>25408</v>
      </c>
      <c r="C36" s="138">
        <v>26893</v>
      </c>
      <c r="D36" s="139">
        <f t="shared" si="0"/>
        <v>105.84461586901763</v>
      </c>
      <c r="E36" s="140">
        <v>26893</v>
      </c>
      <c r="F36" s="139">
        <f t="shared" si="1"/>
        <v>105.84461586901763</v>
      </c>
      <c r="G36" s="140">
        <v>25157</v>
      </c>
      <c r="H36" s="139">
        <f t="shared" si="2"/>
        <v>99.012122166246854</v>
      </c>
      <c r="I36" s="140">
        <v>26894</v>
      </c>
      <c r="J36" s="139">
        <f t="shared" si="3"/>
        <v>105.8485516372796</v>
      </c>
      <c r="K36" s="140">
        <v>26893</v>
      </c>
      <c r="L36" s="139">
        <f t="shared" si="4"/>
        <v>105.84461586901763</v>
      </c>
      <c r="M36" s="181">
        <v>25315</v>
      </c>
      <c r="N36" s="140">
        <v>26721</v>
      </c>
      <c r="O36" s="139">
        <f t="shared" si="5"/>
        <v>105.55401935611297</v>
      </c>
      <c r="P36" s="141" t="s">
        <v>135</v>
      </c>
      <c r="S36" s="130"/>
      <c r="T36" s="130"/>
    </row>
    <row r="37" spans="1:20" ht="15" customHeight="1" x14ac:dyDescent="0.2">
      <c r="A37" s="87" t="s">
        <v>31</v>
      </c>
      <c r="B37" s="181">
        <v>8118</v>
      </c>
      <c r="C37" s="138">
        <v>9382</v>
      </c>
      <c r="D37" s="139">
        <f t="shared" si="0"/>
        <v>115.57033752155704</v>
      </c>
      <c r="E37" s="140">
        <v>9382</v>
      </c>
      <c r="F37" s="139">
        <f t="shared" si="1"/>
        <v>115.57033752155704</v>
      </c>
      <c r="G37" s="140">
        <v>8232</v>
      </c>
      <c r="H37" s="139">
        <f t="shared" si="2"/>
        <v>101.40428677014044</v>
      </c>
      <c r="I37" s="140">
        <v>9382</v>
      </c>
      <c r="J37" s="139">
        <f t="shared" si="3"/>
        <v>115.57033752155704</v>
      </c>
      <c r="K37" s="140">
        <v>9382</v>
      </c>
      <c r="L37" s="139">
        <f t="shared" si="4"/>
        <v>115.57033752155704</v>
      </c>
      <c r="M37" s="181">
        <v>8121</v>
      </c>
      <c r="N37" s="140">
        <v>9521</v>
      </c>
      <c r="O37" s="139">
        <f t="shared" si="5"/>
        <v>117.23925624923039</v>
      </c>
      <c r="P37" s="141" t="s">
        <v>135</v>
      </c>
      <c r="S37" s="130"/>
      <c r="T37" s="130"/>
    </row>
    <row r="38" spans="1:20" ht="15" customHeight="1" x14ac:dyDescent="0.2">
      <c r="A38" s="87" t="s">
        <v>104</v>
      </c>
      <c r="B38" s="181">
        <v>9328</v>
      </c>
      <c r="C38" s="138">
        <v>8193</v>
      </c>
      <c r="D38" s="139">
        <f t="shared" si="0"/>
        <v>87.832332761578044</v>
      </c>
      <c r="E38" s="140">
        <v>8192</v>
      </c>
      <c r="F38" s="139">
        <f t="shared" si="1"/>
        <v>87.821612349914233</v>
      </c>
      <c r="G38" s="140">
        <v>6627</v>
      </c>
      <c r="H38" s="139">
        <f t="shared" si="2"/>
        <v>71.044168096054889</v>
      </c>
      <c r="I38" s="140">
        <v>8194</v>
      </c>
      <c r="J38" s="139">
        <f t="shared" si="3"/>
        <v>87.843053173241842</v>
      </c>
      <c r="K38" s="140">
        <v>8188</v>
      </c>
      <c r="L38" s="139">
        <f t="shared" si="4"/>
        <v>87.778730703259001</v>
      </c>
      <c r="M38" s="181">
        <v>9313</v>
      </c>
      <c r="N38" s="140">
        <v>8618</v>
      </c>
      <c r="O38" s="139">
        <f t="shared" si="5"/>
        <v>92.537313432835816</v>
      </c>
      <c r="P38" s="141" t="s">
        <v>135</v>
      </c>
      <c r="S38" s="130"/>
      <c r="T38" s="130"/>
    </row>
    <row r="39" spans="1:20" ht="15" customHeight="1" x14ac:dyDescent="0.2">
      <c r="A39" s="87" t="s">
        <v>33</v>
      </c>
      <c r="B39" s="181">
        <v>15488</v>
      </c>
      <c r="C39" s="138">
        <v>12574</v>
      </c>
      <c r="D39" s="139">
        <f t="shared" si="0"/>
        <v>81.185433884297524</v>
      </c>
      <c r="E39" s="140">
        <v>12540</v>
      </c>
      <c r="F39" s="139">
        <f t="shared" si="1"/>
        <v>80.965909090909093</v>
      </c>
      <c r="G39" s="140">
        <v>14043</v>
      </c>
      <c r="H39" s="139">
        <f t="shared" si="2"/>
        <v>90.670196280991732</v>
      </c>
      <c r="I39" s="140">
        <v>12540</v>
      </c>
      <c r="J39" s="139">
        <f t="shared" si="3"/>
        <v>80.965909090909093</v>
      </c>
      <c r="K39" s="140">
        <v>12540</v>
      </c>
      <c r="L39" s="139">
        <f t="shared" si="4"/>
        <v>80.965909090909093</v>
      </c>
      <c r="M39" s="181">
        <v>15445</v>
      </c>
      <c r="N39" s="140">
        <v>13676</v>
      </c>
      <c r="O39" s="139">
        <f t="shared" si="5"/>
        <v>88.54645516348333</v>
      </c>
      <c r="P39" s="141" t="s">
        <v>135</v>
      </c>
      <c r="S39" s="130"/>
      <c r="T39" s="130"/>
    </row>
    <row r="40" spans="1:20" ht="15" customHeight="1" x14ac:dyDescent="0.2">
      <c r="A40" s="87" t="s">
        <v>34</v>
      </c>
      <c r="B40" s="181">
        <v>1292</v>
      </c>
      <c r="C40" s="138">
        <v>919</v>
      </c>
      <c r="D40" s="139">
        <f t="shared" si="0"/>
        <v>71.130030959752318</v>
      </c>
      <c r="E40" s="140">
        <v>918</v>
      </c>
      <c r="F40" s="139">
        <f t="shared" si="1"/>
        <v>71.05263157894737</v>
      </c>
      <c r="G40" s="140">
        <v>873</v>
      </c>
      <c r="H40" s="139">
        <f t="shared" si="2"/>
        <v>67.569659442724458</v>
      </c>
      <c r="I40" s="140">
        <v>922</v>
      </c>
      <c r="J40" s="139">
        <f t="shared" si="3"/>
        <v>71.362229102167191</v>
      </c>
      <c r="K40" s="140">
        <v>911</v>
      </c>
      <c r="L40" s="139">
        <f t="shared" si="4"/>
        <v>70.510835913312704</v>
      </c>
      <c r="M40" s="181">
        <v>1295</v>
      </c>
      <c r="N40" s="140">
        <v>889</v>
      </c>
      <c r="O40" s="139">
        <f t="shared" si="5"/>
        <v>68.648648648648646</v>
      </c>
      <c r="P40" s="141" t="s">
        <v>135</v>
      </c>
      <c r="S40" s="130"/>
      <c r="T40" s="130"/>
    </row>
    <row r="41" spans="1:20" ht="15" customHeight="1" x14ac:dyDescent="0.2">
      <c r="A41" s="87" t="s">
        <v>35</v>
      </c>
      <c r="B41" s="181">
        <v>34452</v>
      </c>
      <c r="C41" s="138">
        <v>36447</v>
      </c>
      <c r="D41" s="139">
        <f t="shared" si="0"/>
        <v>105.79066527342388</v>
      </c>
      <c r="E41" s="140">
        <v>36188</v>
      </c>
      <c r="F41" s="139">
        <f t="shared" si="1"/>
        <v>105.03889469406711</v>
      </c>
      <c r="G41" s="140">
        <v>33608</v>
      </c>
      <c r="H41" s="139">
        <f t="shared" si="2"/>
        <v>97.550214791594101</v>
      </c>
      <c r="I41" s="140">
        <v>36186</v>
      </c>
      <c r="J41" s="139">
        <f t="shared" si="3"/>
        <v>105.03308951584813</v>
      </c>
      <c r="K41" s="140">
        <v>36247</v>
      </c>
      <c r="L41" s="139">
        <f t="shared" si="4"/>
        <v>105.21014745152677</v>
      </c>
      <c r="M41" s="181">
        <v>34296</v>
      </c>
      <c r="N41" s="140">
        <v>35217</v>
      </c>
      <c r="O41" s="139">
        <f t="shared" si="5"/>
        <v>102.68544436669001</v>
      </c>
      <c r="P41" s="141" t="s">
        <v>135</v>
      </c>
      <c r="S41" s="130"/>
      <c r="T41" s="130"/>
    </row>
    <row r="42" spans="1:20" ht="15" customHeight="1" x14ac:dyDescent="0.2">
      <c r="A42" s="87" t="s">
        <v>36</v>
      </c>
      <c r="B42" s="181">
        <v>16928</v>
      </c>
      <c r="C42" s="138">
        <v>19852</v>
      </c>
      <c r="D42" s="139">
        <f t="shared" si="0"/>
        <v>117.27315689981097</v>
      </c>
      <c r="E42" s="140">
        <v>19852</v>
      </c>
      <c r="F42" s="139">
        <f t="shared" si="1"/>
        <v>117.27315689981097</v>
      </c>
      <c r="G42" s="140">
        <v>20697</v>
      </c>
      <c r="H42" s="139">
        <f t="shared" si="2"/>
        <v>122.26488657844992</v>
      </c>
      <c r="I42" s="140">
        <v>19852</v>
      </c>
      <c r="J42" s="139">
        <f t="shared" si="3"/>
        <v>117.27315689981097</v>
      </c>
      <c r="K42" s="140">
        <v>19852</v>
      </c>
      <c r="L42" s="139">
        <f t="shared" si="4"/>
        <v>117.27315689981097</v>
      </c>
      <c r="M42" s="181">
        <v>16890</v>
      </c>
      <c r="N42" s="140">
        <v>19847</v>
      </c>
      <c r="O42" s="139">
        <f t="shared" si="5"/>
        <v>117.50740082889284</v>
      </c>
      <c r="P42" s="141" t="s">
        <v>135</v>
      </c>
    </row>
    <row r="43" spans="1:20" ht="15" customHeight="1" x14ac:dyDescent="0.2">
      <c r="A43" s="87" t="s">
        <v>37</v>
      </c>
      <c r="B43" s="181">
        <v>26798</v>
      </c>
      <c r="C43" s="138">
        <v>25176</v>
      </c>
      <c r="D43" s="139">
        <f t="shared" si="0"/>
        <v>93.947309500709011</v>
      </c>
      <c r="E43" s="140">
        <v>25564</v>
      </c>
      <c r="F43" s="139">
        <f t="shared" si="1"/>
        <v>95.39517874468244</v>
      </c>
      <c r="G43" s="140">
        <v>26633</v>
      </c>
      <c r="H43" s="139">
        <f t="shared" si="2"/>
        <v>99.384282409135011</v>
      </c>
      <c r="I43" s="140">
        <v>25481</v>
      </c>
      <c r="J43" s="139">
        <f t="shared" si="3"/>
        <v>95.085454138368533</v>
      </c>
      <c r="K43" s="140">
        <v>25461</v>
      </c>
      <c r="L43" s="139">
        <f t="shared" si="4"/>
        <v>95.010821703112171</v>
      </c>
      <c r="M43" s="181">
        <v>27150</v>
      </c>
      <c r="N43" s="140">
        <v>23715</v>
      </c>
      <c r="O43" s="139">
        <f t="shared" si="5"/>
        <v>87.348066298342545</v>
      </c>
      <c r="P43" s="141" t="s">
        <v>135</v>
      </c>
      <c r="S43" s="130"/>
      <c r="T43" s="130"/>
    </row>
    <row r="44" spans="1:20" ht="15" customHeight="1" x14ac:dyDescent="0.2">
      <c r="A44" s="87" t="s">
        <v>38</v>
      </c>
      <c r="B44" s="181">
        <v>72082</v>
      </c>
      <c r="C44" s="138">
        <v>78808</v>
      </c>
      <c r="D44" s="139">
        <f t="shared" si="0"/>
        <v>109.33103964928831</v>
      </c>
      <c r="E44" s="140">
        <v>75993</v>
      </c>
      <c r="F44" s="139">
        <f t="shared" si="1"/>
        <v>105.42576510085735</v>
      </c>
      <c r="G44" s="140">
        <v>69974</v>
      </c>
      <c r="H44" s="139">
        <f t="shared" si="2"/>
        <v>97.07555284259594</v>
      </c>
      <c r="I44" s="140">
        <v>76097</v>
      </c>
      <c r="J44" s="139">
        <f t="shared" si="3"/>
        <v>105.57004522627007</v>
      </c>
      <c r="K44" s="140">
        <v>75737</v>
      </c>
      <c r="L44" s="139">
        <f t="shared" si="4"/>
        <v>105.07061402291835</v>
      </c>
      <c r="M44" s="181">
        <v>71499</v>
      </c>
      <c r="N44" s="140">
        <v>73018</v>
      </c>
      <c r="O44" s="139">
        <f t="shared" si="5"/>
        <v>102.12450523783549</v>
      </c>
      <c r="P44" s="141" t="s">
        <v>135</v>
      </c>
      <c r="S44" s="130"/>
      <c r="T44" s="130"/>
    </row>
    <row r="45" spans="1:20" ht="15" customHeight="1" x14ac:dyDescent="0.2">
      <c r="A45" s="87" t="s">
        <v>39</v>
      </c>
      <c r="B45" s="180">
        <v>1224</v>
      </c>
      <c r="C45" s="138">
        <v>792</v>
      </c>
      <c r="D45" s="139">
        <f t="shared" si="0"/>
        <v>64.705882352941174</v>
      </c>
      <c r="E45" s="140">
        <v>812</v>
      </c>
      <c r="F45" s="139">
        <f t="shared" si="1"/>
        <v>66.33986928104575</v>
      </c>
      <c r="G45" s="140">
        <v>633</v>
      </c>
      <c r="H45" s="139">
        <f t="shared" si="2"/>
        <v>51.715686274509807</v>
      </c>
      <c r="I45" s="140">
        <v>813</v>
      </c>
      <c r="J45" s="139">
        <f t="shared" si="3"/>
        <v>66.421568627450981</v>
      </c>
      <c r="K45" s="140">
        <v>814</v>
      </c>
      <c r="L45" s="139">
        <f t="shared" si="4"/>
        <v>66.503267973856211</v>
      </c>
      <c r="M45" s="181">
        <v>1219</v>
      </c>
      <c r="N45" s="140">
        <v>868</v>
      </c>
      <c r="O45" s="139">
        <f t="shared" si="5"/>
        <v>71.205906480721907</v>
      </c>
      <c r="P45" s="141" t="s">
        <v>135</v>
      </c>
    </row>
    <row r="46" spans="1:20" ht="15" customHeight="1" thickBot="1" x14ac:dyDescent="0.25">
      <c r="A46" s="88" t="s">
        <v>40</v>
      </c>
      <c r="B46" s="182">
        <v>1774</v>
      </c>
      <c r="C46" s="146">
        <v>800</v>
      </c>
      <c r="D46" s="147">
        <f t="shared" si="0"/>
        <v>45.095828635851184</v>
      </c>
      <c r="E46" s="148">
        <v>800</v>
      </c>
      <c r="F46" s="147">
        <f t="shared" si="1"/>
        <v>45.095828635851184</v>
      </c>
      <c r="G46" s="148">
        <v>939</v>
      </c>
      <c r="H46" s="147">
        <f t="shared" si="2"/>
        <v>52.931228861330325</v>
      </c>
      <c r="I46" s="148">
        <v>799</v>
      </c>
      <c r="J46" s="147">
        <f t="shared" si="3"/>
        <v>45.03945885005637</v>
      </c>
      <c r="K46" s="148">
        <v>796</v>
      </c>
      <c r="L46" s="147">
        <f t="shared" si="4"/>
        <v>44.870349492671927</v>
      </c>
      <c r="M46" s="184">
        <v>1744</v>
      </c>
      <c r="N46" s="148">
        <v>1053</v>
      </c>
      <c r="O46" s="147">
        <f t="shared" si="5"/>
        <v>60.378440366972477</v>
      </c>
      <c r="P46" s="141" t="s">
        <v>135</v>
      </c>
    </row>
    <row r="47" spans="1:20" ht="13.5" thickBot="1" x14ac:dyDescent="0.25">
      <c r="A47" s="149" t="s">
        <v>41</v>
      </c>
      <c r="B47" s="183">
        <f>SUM(B11:B46)</f>
        <v>856215</v>
      </c>
      <c r="C47" s="150">
        <f>SUM(C11:C46)</f>
        <v>804312</v>
      </c>
      <c r="D47" s="151">
        <f t="shared" si="0"/>
        <v>93.938087980238606</v>
      </c>
      <c r="E47" s="150">
        <f>SUM(E11:E46)</f>
        <v>800472</v>
      </c>
      <c r="F47" s="152">
        <f t="shared" si="1"/>
        <v>93.489602494700506</v>
      </c>
      <c r="G47" s="150">
        <f>SUM(G11:G46)</f>
        <v>819968</v>
      </c>
      <c r="H47" s="151">
        <f t="shared" si="2"/>
        <v>95.766600678567883</v>
      </c>
      <c r="I47" s="150">
        <f>SUM(I11:I46)</f>
        <v>800871</v>
      </c>
      <c r="J47" s="151">
        <f t="shared" si="3"/>
        <v>93.536202939682212</v>
      </c>
      <c r="K47" s="150">
        <f>SUM(K11:K46)</f>
        <v>799502</v>
      </c>
      <c r="L47" s="151">
        <f t="shared" si="4"/>
        <v>93.376313192364066</v>
      </c>
      <c r="M47" s="185">
        <f>SUM(M11:M46)</f>
        <v>856166</v>
      </c>
      <c r="N47" s="150">
        <f>SUM(N11:N46)</f>
        <v>816761</v>
      </c>
      <c r="O47" s="151">
        <f t="shared" si="5"/>
        <v>95.397504689511152</v>
      </c>
      <c r="P47" s="153"/>
    </row>
    <row r="48" spans="1:20" ht="13.5" thickBot="1" x14ac:dyDescent="0.25">
      <c r="A48" s="126" t="s">
        <v>105</v>
      </c>
      <c r="B48" s="82"/>
      <c r="C48" s="86">
        <f ca="1">NOW()</f>
        <v>43938.790609606483</v>
      </c>
      <c r="D48" s="38"/>
      <c r="E48" s="82"/>
      <c r="F48" s="83"/>
      <c r="G48" s="82"/>
      <c r="H48" s="83"/>
      <c r="I48" s="82"/>
      <c r="J48" s="83"/>
      <c r="K48" s="82"/>
      <c r="L48" s="83"/>
      <c r="M48" s="82"/>
      <c r="N48" s="82"/>
      <c r="O48" s="83"/>
      <c r="P48" s="154"/>
    </row>
  </sheetData>
  <mergeCells count="8">
    <mergeCell ref="A8:P8"/>
    <mergeCell ref="A9:A10"/>
    <mergeCell ref="C9:D9"/>
    <mergeCell ref="E9:F9"/>
    <mergeCell ref="G9:H9"/>
    <mergeCell ref="I9:J9"/>
    <mergeCell ref="K9:L9"/>
    <mergeCell ref="N9:O9"/>
  </mergeCells>
  <phoneticPr fontId="0" type="noConversion"/>
  <printOptions horizontalCentered="1"/>
  <pageMargins left="0.23622047244094491" right="7.874015748031496E-2" top="1.26" bottom="0.39370078740157483" header="0.39370078740157483" footer="0"/>
  <pageSetup scale="80" orientation="landscape" horizontalDpi="4294967295" verticalDpi="4294967295" r:id="rId1"/>
  <headerFooter alignWithMargins="0">
    <oddHeader>&amp;L            &amp;G&amp;C&amp;"Arial,Negrita"
Ministerio de la Protección Social
República de Colombia
Dirección General de Salud Pública
Programa Ampliado de Inmunizaciones - PAI&amp;R&amp;G</oddHeader>
    <oddFooter>&amp;C&amp;F&amp;R&amp;D - Página &amp;P</oddFooter>
  </headerFooter>
  <drawing r:id="rId2"/>
  <legacyDrawingHF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7"/>
  </sheetPr>
  <dimension ref="A5:R55"/>
  <sheetViews>
    <sheetView zoomScale="90" zoomScaleNormal="90" workbookViewId="0">
      <pane xSplit="2" ySplit="10" topLeftCell="C11" activePane="bottomRight" state="frozen"/>
      <selection activeCell="A4" sqref="A4"/>
      <selection pane="topRight" activeCell="A4" sqref="A4"/>
      <selection pane="bottomLeft" activeCell="A4" sqref="A4"/>
      <selection pane="bottomRight" activeCell="C11" sqref="C11"/>
    </sheetView>
  </sheetViews>
  <sheetFormatPr baseColWidth="10" defaultRowHeight="12.75" x14ac:dyDescent="0.2"/>
  <cols>
    <col min="1" max="1" width="21.85546875" style="187" customWidth="1"/>
    <col min="2" max="2" width="13.85546875" style="187" customWidth="1"/>
    <col min="3" max="3" width="9.7109375" style="187" customWidth="1"/>
    <col min="4" max="4" width="6.7109375" style="187" customWidth="1"/>
    <col min="5" max="5" width="9.140625" style="187" customWidth="1"/>
    <col min="6" max="6" width="6.7109375" style="187" customWidth="1"/>
    <col min="7" max="7" width="9.5703125" style="187" customWidth="1"/>
    <col min="8" max="8" width="6.7109375" style="187" customWidth="1"/>
    <col min="9" max="9" width="9.28515625" style="187" customWidth="1"/>
    <col min="10" max="10" width="6.7109375" style="187" customWidth="1"/>
    <col min="11" max="11" width="9.5703125" style="187" customWidth="1"/>
    <col min="12" max="12" width="6.7109375" style="187" customWidth="1"/>
    <col min="13" max="13" width="10.140625" style="187" customWidth="1"/>
    <col min="14" max="14" width="9.28515625" style="187" customWidth="1"/>
    <col min="15" max="15" width="6.7109375" style="187" bestFit="1" customWidth="1"/>
    <col min="16" max="16" width="10.28515625" style="187" customWidth="1"/>
    <col min="17" max="17" width="6.7109375" style="187" bestFit="1" customWidth="1"/>
    <col min="18" max="18" width="8" style="187" bestFit="1" customWidth="1"/>
    <col min="19" max="16384" width="11.42578125" style="187"/>
  </cols>
  <sheetData>
    <row r="5" spans="1:18" x14ac:dyDescent="0.2">
      <c r="A5" s="702" t="s">
        <v>305</v>
      </c>
      <c r="C5" s="753" t="s">
        <v>316</v>
      </c>
    </row>
    <row r="6" spans="1:18" x14ac:dyDescent="0.2">
      <c r="A6" s="702" t="s">
        <v>306</v>
      </c>
      <c r="C6" s="776">
        <v>39457</v>
      </c>
    </row>
    <row r="7" spans="1:18" x14ac:dyDescent="0.2">
      <c r="A7" s="702" t="s">
        <v>307</v>
      </c>
      <c r="C7" s="766" t="s">
        <v>312</v>
      </c>
    </row>
    <row r="8" spans="1:18" ht="13.5" thickBot="1" x14ac:dyDescent="0.25">
      <c r="A8" s="1884" t="s">
        <v>137</v>
      </c>
      <c r="B8" s="1884"/>
      <c r="C8" s="1884"/>
      <c r="D8" s="1884"/>
      <c r="E8" s="1884"/>
      <c r="F8" s="1884"/>
      <c r="G8" s="1884"/>
      <c r="H8" s="1884"/>
      <c r="I8" s="1884"/>
      <c r="J8" s="1884"/>
      <c r="K8" s="1884"/>
      <c r="L8" s="1884"/>
      <c r="M8" s="1884"/>
      <c r="N8" s="1884"/>
      <c r="O8" s="1884"/>
      <c r="P8" s="1884"/>
      <c r="Q8" s="1884"/>
    </row>
    <row r="9" spans="1:18" ht="27" customHeight="1" thickBot="1" x14ac:dyDescent="0.25">
      <c r="A9" s="226" t="s">
        <v>79</v>
      </c>
      <c r="B9" s="226" t="s">
        <v>53</v>
      </c>
      <c r="C9" s="1885" t="s">
        <v>3</v>
      </c>
      <c r="D9" s="1886"/>
      <c r="E9" s="1885" t="s">
        <v>6</v>
      </c>
      <c r="F9" s="1886"/>
      <c r="G9" s="1885" t="s">
        <v>7</v>
      </c>
      <c r="H9" s="1887"/>
      <c r="I9" s="1888" t="s">
        <v>54</v>
      </c>
      <c r="J9" s="1886"/>
      <c r="K9" s="1885" t="s">
        <v>89</v>
      </c>
      <c r="L9" s="1886"/>
      <c r="M9" s="225" t="s">
        <v>81</v>
      </c>
      <c r="N9" s="1885" t="s">
        <v>90</v>
      </c>
      <c r="O9" s="1886"/>
      <c r="P9" s="1889" t="s">
        <v>136</v>
      </c>
      <c r="Q9" s="1890"/>
      <c r="R9" s="224" t="s">
        <v>82</v>
      </c>
    </row>
    <row r="10" spans="1:18" ht="21" customHeight="1" thickBot="1" x14ac:dyDescent="0.25">
      <c r="A10" s="223"/>
      <c r="B10" s="219" t="s">
        <v>74</v>
      </c>
      <c r="C10" s="220" t="s">
        <v>83</v>
      </c>
      <c r="D10" s="220" t="s">
        <v>5</v>
      </c>
      <c r="E10" s="220" t="s">
        <v>83</v>
      </c>
      <c r="F10" s="220" t="s">
        <v>5</v>
      </c>
      <c r="G10" s="220" t="s">
        <v>91</v>
      </c>
      <c r="H10" s="220" t="s">
        <v>5</v>
      </c>
      <c r="I10" s="220" t="s">
        <v>83</v>
      </c>
      <c r="J10" s="220" t="s">
        <v>5</v>
      </c>
      <c r="K10" s="221" t="s">
        <v>83</v>
      </c>
      <c r="L10" s="220" t="s">
        <v>5</v>
      </c>
      <c r="M10" s="222" t="s">
        <v>92</v>
      </c>
      <c r="N10" s="221" t="s">
        <v>91</v>
      </c>
      <c r="O10" s="220" t="s">
        <v>5</v>
      </c>
      <c r="P10" s="221" t="s">
        <v>91</v>
      </c>
      <c r="Q10" s="220" t="s">
        <v>5</v>
      </c>
      <c r="R10" s="219" t="s">
        <v>85</v>
      </c>
    </row>
    <row r="11" spans="1:18" ht="15.95" customHeight="1" x14ac:dyDescent="0.2">
      <c r="A11" s="522" t="s">
        <v>12</v>
      </c>
      <c r="B11" s="517">
        <v>2056</v>
      </c>
      <c r="C11" s="518">
        <v>1756</v>
      </c>
      <c r="D11" s="519">
        <f t="shared" ref="D11:D47" si="0">ROUND(C11/$B11*100,1)</f>
        <v>85.4</v>
      </c>
      <c r="E11" s="518">
        <v>1755</v>
      </c>
      <c r="F11" s="519">
        <f t="shared" ref="F11:F47" si="1">ROUND(E11/$B11*100,1)</f>
        <v>85.4</v>
      </c>
      <c r="G11" s="518">
        <v>1724</v>
      </c>
      <c r="H11" s="519">
        <f t="shared" ref="H11:H47" si="2">ROUND(G11/$B11*100,1)</f>
        <v>83.9</v>
      </c>
      <c r="I11" s="518">
        <v>1771</v>
      </c>
      <c r="J11" s="519">
        <f t="shared" ref="J11:J47" si="3">ROUND(I11/$B11*100,1)</f>
        <v>86.1</v>
      </c>
      <c r="K11" s="518">
        <v>1755</v>
      </c>
      <c r="L11" s="519">
        <f t="shared" ref="L11:L47" si="4">ROUND(K11/$B11*100,1)</f>
        <v>85.4</v>
      </c>
      <c r="M11" s="520">
        <v>2018</v>
      </c>
      <c r="N11" s="518">
        <v>1693</v>
      </c>
      <c r="O11" s="519">
        <f t="shared" ref="O11:O47" si="5">ROUND(N11/$M11*100,1)</f>
        <v>83.9</v>
      </c>
      <c r="P11" s="518">
        <f>1012+314+133</f>
        <v>1459</v>
      </c>
      <c r="Q11" s="519">
        <f t="shared" ref="Q11:Q47" si="6">ROUND(P11/$M11*100,1)</f>
        <v>72.3</v>
      </c>
      <c r="R11" s="208" t="s">
        <v>138</v>
      </c>
    </row>
    <row r="12" spans="1:18" ht="15.95" customHeight="1" x14ac:dyDescent="0.2">
      <c r="A12" s="521" t="s">
        <v>11</v>
      </c>
      <c r="B12" s="513">
        <v>102541</v>
      </c>
      <c r="C12" s="514">
        <v>88862</v>
      </c>
      <c r="D12" s="515">
        <f t="shared" si="0"/>
        <v>86.7</v>
      </c>
      <c r="E12" s="514">
        <v>89593</v>
      </c>
      <c r="F12" s="515">
        <f t="shared" si="1"/>
        <v>87.4</v>
      </c>
      <c r="G12" s="514">
        <v>96624</v>
      </c>
      <c r="H12" s="515">
        <f t="shared" si="2"/>
        <v>94.2</v>
      </c>
      <c r="I12" s="514">
        <v>89395</v>
      </c>
      <c r="J12" s="515">
        <f t="shared" si="3"/>
        <v>87.2</v>
      </c>
      <c r="K12" s="514">
        <v>89593</v>
      </c>
      <c r="L12" s="515">
        <f t="shared" si="4"/>
        <v>87.4</v>
      </c>
      <c r="M12" s="218">
        <v>102800</v>
      </c>
      <c r="N12" s="516">
        <v>94854</v>
      </c>
      <c r="O12" s="515">
        <f t="shared" si="5"/>
        <v>92.3</v>
      </c>
      <c r="P12" s="516">
        <v>93715</v>
      </c>
      <c r="Q12" s="515">
        <f t="shared" si="6"/>
        <v>91.2</v>
      </c>
      <c r="R12" s="202" t="s">
        <v>138</v>
      </c>
    </row>
    <row r="13" spans="1:18" ht="15.95" customHeight="1" x14ac:dyDescent="0.2">
      <c r="A13" s="215" t="s">
        <v>13</v>
      </c>
      <c r="B13" s="211">
        <v>6788</v>
      </c>
      <c r="C13" s="209">
        <v>5820</v>
      </c>
      <c r="D13" s="198">
        <f t="shared" si="0"/>
        <v>85.7</v>
      </c>
      <c r="E13" s="209">
        <v>5875</v>
      </c>
      <c r="F13" s="198">
        <f t="shared" si="1"/>
        <v>86.5</v>
      </c>
      <c r="G13" s="209">
        <v>5046</v>
      </c>
      <c r="H13" s="198">
        <f t="shared" si="2"/>
        <v>74.3</v>
      </c>
      <c r="I13" s="209">
        <v>5875</v>
      </c>
      <c r="J13" s="198">
        <f t="shared" si="3"/>
        <v>86.5</v>
      </c>
      <c r="K13" s="209">
        <v>5875</v>
      </c>
      <c r="L13" s="198">
        <f t="shared" si="4"/>
        <v>86.5</v>
      </c>
      <c r="M13" s="210">
        <v>6897</v>
      </c>
      <c r="N13" s="209">
        <v>5593</v>
      </c>
      <c r="O13" s="198">
        <f t="shared" si="5"/>
        <v>81.099999999999994</v>
      </c>
      <c r="P13" s="214">
        <f>364+361+610+601+533+445+534+468+499+520+437+436</f>
        <v>5808</v>
      </c>
      <c r="Q13" s="198">
        <f t="shared" si="6"/>
        <v>84.2</v>
      </c>
      <c r="R13" s="208" t="s">
        <v>138</v>
      </c>
    </row>
    <row r="14" spans="1:18" ht="15.95" customHeight="1" x14ac:dyDescent="0.2">
      <c r="A14" s="215" t="s">
        <v>14</v>
      </c>
      <c r="B14" s="211">
        <v>21045</v>
      </c>
      <c r="C14" s="209">
        <v>18367</v>
      </c>
      <c r="D14" s="198">
        <f t="shared" si="0"/>
        <v>87.3</v>
      </c>
      <c r="E14" s="209">
        <v>18365</v>
      </c>
      <c r="F14" s="198">
        <f t="shared" si="1"/>
        <v>87.3</v>
      </c>
      <c r="G14" s="209">
        <v>15754</v>
      </c>
      <c r="H14" s="198">
        <f t="shared" si="2"/>
        <v>74.900000000000006</v>
      </c>
      <c r="I14" s="209">
        <v>18339</v>
      </c>
      <c r="J14" s="198">
        <f t="shared" si="3"/>
        <v>87.1</v>
      </c>
      <c r="K14" s="209">
        <v>18365</v>
      </c>
      <c r="L14" s="198">
        <f t="shared" si="4"/>
        <v>87.3</v>
      </c>
      <c r="M14" s="210">
        <v>21643</v>
      </c>
      <c r="N14" s="209">
        <v>18683</v>
      </c>
      <c r="O14" s="198">
        <f t="shared" si="5"/>
        <v>86.3</v>
      </c>
      <c r="P14" s="209">
        <f>1240+1134+1317+1686+1499+1339+1763+1666+1981+1736+1708+1517</f>
        <v>18586</v>
      </c>
      <c r="Q14" s="198">
        <f t="shared" si="6"/>
        <v>85.9</v>
      </c>
      <c r="R14" s="208" t="s">
        <v>138</v>
      </c>
    </row>
    <row r="15" spans="1:18" ht="15.95" customHeight="1" x14ac:dyDescent="0.2">
      <c r="A15" s="212" t="s">
        <v>115</v>
      </c>
      <c r="B15" s="211">
        <v>22173</v>
      </c>
      <c r="C15" s="209">
        <v>26623</v>
      </c>
      <c r="D15" s="198">
        <f t="shared" si="0"/>
        <v>120.1</v>
      </c>
      <c r="E15" s="209">
        <v>26622</v>
      </c>
      <c r="F15" s="198">
        <f t="shared" si="1"/>
        <v>120.1</v>
      </c>
      <c r="G15" s="209">
        <v>31809</v>
      </c>
      <c r="H15" s="198">
        <f t="shared" si="2"/>
        <v>143.5</v>
      </c>
      <c r="I15" s="209">
        <v>26660</v>
      </c>
      <c r="J15" s="198">
        <f t="shared" si="3"/>
        <v>120.2</v>
      </c>
      <c r="K15" s="209">
        <v>26622</v>
      </c>
      <c r="L15" s="198">
        <f t="shared" si="4"/>
        <v>120.1</v>
      </c>
      <c r="M15" s="210">
        <v>22096</v>
      </c>
      <c r="N15" s="209">
        <v>25881</v>
      </c>
      <c r="O15" s="198">
        <f t="shared" si="5"/>
        <v>117.1</v>
      </c>
      <c r="P15" s="209">
        <f>24026+2331</f>
        <v>26357</v>
      </c>
      <c r="Q15" s="198">
        <f t="shared" si="6"/>
        <v>119.3</v>
      </c>
      <c r="R15" s="208" t="s">
        <v>138</v>
      </c>
    </row>
    <row r="16" spans="1:18" ht="15.95" customHeight="1" x14ac:dyDescent="0.2">
      <c r="A16" s="215" t="s">
        <v>15</v>
      </c>
      <c r="B16" s="217">
        <v>118045</v>
      </c>
      <c r="C16" s="209">
        <v>111145</v>
      </c>
      <c r="D16" s="198">
        <f t="shared" si="0"/>
        <v>94.2</v>
      </c>
      <c r="E16" s="209">
        <v>110967</v>
      </c>
      <c r="F16" s="198">
        <f t="shared" si="1"/>
        <v>94</v>
      </c>
      <c r="G16" s="209">
        <v>122304</v>
      </c>
      <c r="H16" s="198">
        <f t="shared" si="2"/>
        <v>103.6</v>
      </c>
      <c r="I16" s="209">
        <v>111130</v>
      </c>
      <c r="J16" s="198">
        <f t="shared" si="3"/>
        <v>94.1</v>
      </c>
      <c r="K16" s="209">
        <v>111070</v>
      </c>
      <c r="L16" s="198">
        <f t="shared" si="4"/>
        <v>94.1</v>
      </c>
      <c r="M16" s="210">
        <v>117581</v>
      </c>
      <c r="N16" s="209">
        <v>110882</v>
      </c>
      <c r="O16" s="198">
        <f t="shared" si="5"/>
        <v>94.3</v>
      </c>
      <c r="P16" s="209">
        <v>108480</v>
      </c>
      <c r="Q16" s="198">
        <f t="shared" si="6"/>
        <v>92.3</v>
      </c>
      <c r="R16" s="208" t="s">
        <v>138</v>
      </c>
    </row>
    <row r="17" spans="1:18" ht="15.95" customHeight="1" x14ac:dyDescent="0.2">
      <c r="A17" s="215" t="s">
        <v>62</v>
      </c>
      <c r="B17" s="211">
        <v>23106</v>
      </c>
      <c r="C17" s="209">
        <v>22633</v>
      </c>
      <c r="D17" s="198">
        <f t="shared" si="0"/>
        <v>98</v>
      </c>
      <c r="E17" s="209">
        <v>22646</v>
      </c>
      <c r="F17" s="198">
        <f t="shared" si="1"/>
        <v>98</v>
      </c>
      <c r="G17" s="209">
        <v>21823</v>
      </c>
      <c r="H17" s="198">
        <f t="shared" si="2"/>
        <v>94.4</v>
      </c>
      <c r="I17" s="209">
        <v>22741</v>
      </c>
      <c r="J17" s="198">
        <f t="shared" si="3"/>
        <v>98.4</v>
      </c>
      <c r="K17" s="209">
        <v>22646</v>
      </c>
      <c r="L17" s="198">
        <f t="shared" si="4"/>
        <v>98</v>
      </c>
      <c r="M17" s="210">
        <v>23175</v>
      </c>
      <c r="N17" s="209">
        <v>20318</v>
      </c>
      <c r="O17" s="198">
        <f t="shared" si="5"/>
        <v>87.7</v>
      </c>
      <c r="P17" s="214">
        <f>12546+898+1595</f>
        <v>15039</v>
      </c>
      <c r="Q17" s="198">
        <f t="shared" si="6"/>
        <v>64.900000000000006</v>
      </c>
      <c r="R17" s="208" t="s">
        <v>138</v>
      </c>
    </row>
    <row r="18" spans="1:18" ht="15.95" customHeight="1" x14ac:dyDescent="0.2">
      <c r="A18" s="212" t="s">
        <v>45</v>
      </c>
      <c r="B18" s="211">
        <v>18603</v>
      </c>
      <c r="C18" s="209">
        <v>21772</v>
      </c>
      <c r="D18" s="198">
        <f t="shared" si="0"/>
        <v>117</v>
      </c>
      <c r="E18" s="209">
        <v>21506</v>
      </c>
      <c r="F18" s="198">
        <f t="shared" si="1"/>
        <v>115.6</v>
      </c>
      <c r="G18" s="209">
        <v>22339</v>
      </c>
      <c r="H18" s="198">
        <f t="shared" si="2"/>
        <v>120.1</v>
      </c>
      <c r="I18" s="209">
        <v>21506</v>
      </c>
      <c r="J18" s="198">
        <f t="shared" si="3"/>
        <v>115.6</v>
      </c>
      <c r="K18" s="209">
        <v>21506</v>
      </c>
      <c r="L18" s="198">
        <f t="shared" si="4"/>
        <v>115.6</v>
      </c>
      <c r="M18" s="210">
        <v>18364</v>
      </c>
      <c r="N18" s="209">
        <v>23518</v>
      </c>
      <c r="O18" s="198">
        <f t="shared" si="5"/>
        <v>128.1</v>
      </c>
      <c r="P18" s="209">
        <f>15878+1320+1763</f>
        <v>18961</v>
      </c>
      <c r="Q18" s="198">
        <f t="shared" si="6"/>
        <v>103.3</v>
      </c>
      <c r="R18" s="208" t="s">
        <v>138</v>
      </c>
    </row>
    <row r="19" spans="1:18" ht="15.95" customHeight="1" x14ac:dyDescent="0.2">
      <c r="A19" s="212" t="s">
        <v>17</v>
      </c>
      <c r="B19" s="211">
        <v>24198</v>
      </c>
      <c r="C19" s="209">
        <v>21937</v>
      </c>
      <c r="D19" s="198">
        <f t="shared" si="0"/>
        <v>90.7</v>
      </c>
      <c r="E19" s="209">
        <v>21919</v>
      </c>
      <c r="F19" s="198">
        <f t="shared" si="1"/>
        <v>90.6</v>
      </c>
      <c r="G19" s="209">
        <v>20122</v>
      </c>
      <c r="H19" s="198">
        <f t="shared" si="2"/>
        <v>83.2</v>
      </c>
      <c r="I19" s="209">
        <v>21919</v>
      </c>
      <c r="J19" s="198">
        <f t="shared" si="3"/>
        <v>90.6</v>
      </c>
      <c r="K19" s="209">
        <v>21919</v>
      </c>
      <c r="L19" s="198">
        <f t="shared" si="4"/>
        <v>90.6</v>
      </c>
      <c r="M19" s="210">
        <v>24568</v>
      </c>
      <c r="N19" s="209">
        <v>22794</v>
      </c>
      <c r="O19" s="198">
        <f t="shared" si="5"/>
        <v>92.8</v>
      </c>
      <c r="P19" s="209">
        <f>1804+1732+2308+1376+1497+1991+1539+2557+1651+2135+1599</f>
        <v>20189</v>
      </c>
      <c r="Q19" s="198">
        <f t="shared" si="6"/>
        <v>82.2</v>
      </c>
      <c r="R19" s="208" t="s">
        <v>138</v>
      </c>
    </row>
    <row r="20" spans="1:18" ht="15.95" customHeight="1" x14ac:dyDescent="0.2">
      <c r="A20" s="212" t="s">
        <v>19</v>
      </c>
      <c r="B20" s="211">
        <v>17014</v>
      </c>
      <c r="C20" s="209">
        <v>13389</v>
      </c>
      <c r="D20" s="198">
        <f t="shared" si="0"/>
        <v>78.7</v>
      </c>
      <c r="E20" s="209">
        <v>13389</v>
      </c>
      <c r="F20" s="198">
        <f t="shared" si="1"/>
        <v>78.7</v>
      </c>
      <c r="G20" s="209">
        <v>11501</v>
      </c>
      <c r="H20" s="198">
        <f t="shared" si="2"/>
        <v>67.599999999999994</v>
      </c>
      <c r="I20" s="209">
        <v>13389</v>
      </c>
      <c r="J20" s="198">
        <f t="shared" si="3"/>
        <v>78.7</v>
      </c>
      <c r="K20" s="209">
        <v>13389</v>
      </c>
      <c r="L20" s="198">
        <f t="shared" si="4"/>
        <v>78.7</v>
      </c>
      <c r="M20" s="210">
        <v>16990</v>
      </c>
      <c r="N20" s="209">
        <v>13673</v>
      </c>
      <c r="O20" s="198">
        <f t="shared" si="5"/>
        <v>80.5</v>
      </c>
      <c r="P20" s="209">
        <v>13663</v>
      </c>
      <c r="Q20" s="198">
        <f t="shared" si="6"/>
        <v>80.400000000000006</v>
      </c>
      <c r="R20" s="208" t="s">
        <v>138</v>
      </c>
    </row>
    <row r="21" spans="1:18" ht="15.95" customHeight="1" x14ac:dyDescent="0.2">
      <c r="A21" s="215" t="s">
        <v>63</v>
      </c>
      <c r="B21" s="211">
        <v>10874</v>
      </c>
      <c r="C21" s="209">
        <v>10715</v>
      </c>
      <c r="D21" s="198">
        <f t="shared" si="0"/>
        <v>98.5</v>
      </c>
      <c r="E21" s="209">
        <v>10715</v>
      </c>
      <c r="F21" s="198">
        <f t="shared" si="1"/>
        <v>98.5</v>
      </c>
      <c r="G21" s="209">
        <v>11032</v>
      </c>
      <c r="H21" s="198">
        <f t="shared" si="2"/>
        <v>101.5</v>
      </c>
      <c r="I21" s="209">
        <v>11005</v>
      </c>
      <c r="J21" s="198">
        <f t="shared" si="3"/>
        <v>101.2</v>
      </c>
      <c r="K21" s="209">
        <v>10683</v>
      </c>
      <c r="L21" s="198">
        <f t="shared" si="4"/>
        <v>98.2</v>
      </c>
      <c r="M21" s="210">
        <v>10936</v>
      </c>
      <c r="N21" s="209">
        <v>9864</v>
      </c>
      <c r="O21" s="198">
        <f t="shared" si="5"/>
        <v>90.2</v>
      </c>
      <c r="P21" s="214">
        <f>6714+892+460</f>
        <v>8066</v>
      </c>
      <c r="Q21" s="198">
        <f t="shared" si="6"/>
        <v>73.8</v>
      </c>
      <c r="R21" s="208" t="s">
        <v>138</v>
      </c>
    </row>
    <row r="22" spans="1:18" ht="15.95" customHeight="1" x14ac:dyDescent="0.2">
      <c r="A22" s="212" t="s">
        <v>21</v>
      </c>
      <c r="B22" s="211">
        <v>6982</v>
      </c>
      <c r="C22" s="209">
        <v>6889</v>
      </c>
      <c r="D22" s="198">
        <f t="shared" si="0"/>
        <v>98.7</v>
      </c>
      <c r="E22" s="209">
        <v>6889</v>
      </c>
      <c r="F22" s="198">
        <f t="shared" si="1"/>
        <v>98.7</v>
      </c>
      <c r="G22" s="209">
        <v>6715</v>
      </c>
      <c r="H22" s="198">
        <f t="shared" si="2"/>
        <v>96.2</v>
      </c>
      <c r="I22" s="209">
        <v>6894</v>
      </c>
      <c r="J22" s="198">
        <f t="shared" si="3"/>
        <v>98.7</v>
      </c>
      <c r="K22" s="209">
        <v>6889</v>
      </c>
      <c r="L22" s="198">
        <f t="shared" si="4"/>
        <v>98.7</v>
      </c>
      <c r="M22" s="210">
        <v>7015</v>
      </c>
      <c r="N22" s="209">
        <v>6635</v>
      </c>
      <c r="O22" s="198">
        <f t="shared" si="5"/>
        <v>94.6</v>
      </c>
      <c r="P22" s="209">
        <f>4461+570+486</f>
        <v>5517</v>
      </c>
      <c r="Q22" s="198">
        <f t="shared" si="6"/>
        <v>78.599999999999994</v>
      </c>
      <c r="R22" s="208" t="s">
        <v>138</v>
      </c>
    </row>
    <row r="23" spans="1:18" ht="15.95" customHeight="1" x14ac:dyDescent="0.2">
      <c r="A23" s="215" t="s">
        <v>18</v>
      </c>
      <c r="B23" s="211">
        <v>26025</v>
      </c>
      <c r="C23" s="209">
        <v>19903</v>
      </c>
      <c r="D23" s="198">
        <f t="shared" si="0"/>
        <v>76.5</v>
      </c>
      <c r="E23" s="209">
        <v>20188</v>
      </c>
      <c r="F23" s="198">
        <f t="shared" si="1"/>
        <v>77.599999999999994</v>
      </c>
      <c r="G23" s="209">
        <v>19217</v>
      </c>
      <c r="H23" s="198">
        <f t="shared" si="2"/>
        <v>73.8</v>
      </c>
      <c r="I23" s="209">
        <v>20131</v>
      </c>
      <c r="J23" s="198">
        <f t="shared" si="3"/>
        <v>77.400000000000006</v>
      </c>
      <c r="K23" s="209">
        <v>20187</v>
      </c>
      <c r="L23" s="198">
        <f t="shared" si="4"/>
        <v>77.599999999999994</v>
      </c>
      <c r="M23" s="210">
        <v>26233</v>
      </c>
      <c r="N23" s="209">
        <v>20667</v>
      </c>
      <c r="O23" s="198">
        <f t="shared" si="5"/>
        <v>78.8</v>
      </c>
      <c r="P23" s="214">
        <v>4883</v>
      </c>
      <c r="Q23" s="198">
        <f t="shared" si="6"/>
        <v>18.600000000000001</v>
      </c>
      <c r="R23" s="208" t="s">
        <v>138</v>
      </c>
    </row>
    <row r="24" spans="1:18" ht="15.95" customHeight="1" x14ac:dyDescent="0.2">
      <c r="A24" s="215" t="s">
        <v>22</v>
      </c>
      <c r="B24" s="211">
        <v>22366</v>
      </c>
      <c r="C24" s="209">
        <v>23972</v>
      </c>
      <c r="D24" s="198">
        <f t="shared" si="0"/>
        <v>107.2</v>
      </c>
      <c r="E24" s="209">
        <v>23972</v>
      </c>
      <c r="F24" s="198">
        <f t="shared" si="1"/>
        <v>107.2</v>
      </c>
      <c r="G24" s="209">
        <v>27257</v>
      </c>
      <c r="H24" s="198">
        <f t="shared" si="2"/>
        <v>121.9</v>
      </c>
      <c r="I24" s="209">
        <v>23972</v>
      </c>
      <c r="J24" s="198">
        <f t="shared" si="3"/>
        <v>107.2</v>
      </c>
      <c r="K24" s="209">
        <v>23969</v>
      </c>
      <c r="L24" s="198">
        <f t="shared" si="4"/>
        <v>107.2</v>
      </c>
      <c r="M24" s="210">
        <v>22410</v>
      </c>
      <c r="N24" s="209">
        <v>23779</v>
      </c>
      <c r="O24" s="198">
        <f t="shared" si="5"/>
        <v>106.1</v>
      </c>
      <c r="P24" s="214">
        <f>1933+1851+1913+2180+1947+1759+1908+2064+2404+2131+1986+1638</f>
        <v>23714</v>
      </c>
      <c r="Q24" s="198">
        <f t="shared" si="6"/>
        <v>105.8</v>
      </c>
      <c r="R24" s="208" t="s">
        <v>138</v>
      </c>
    </row>
    <row r="25" spans="1:18" ht="15.95" customHeight="1" x14ac:dyDescent="0.2">
      <c r="A25" s="215" t="s">
        <v>24</v>
      </c>
      <c r="B25" s="211">
        <v>13637</v>
      </c>
      <c r="C25" s="209">
        <v>9345</v>
      </c>
      <c r="D25" s="198">
        <f t="shared" si="0"/>
        <v>68.5</v>
      </c>
      <c r="E25" s="209">
        <v>9319</v>
      </c>
      <c r="F25" s="198">
        <f t="shared" si="1"/>
        <v>68.3</v>
      </c>
      <c r="G25" s="209">
        <v>9951</v>
      </c>
      <c r="H25" s="198">
        <f t="shared" si="2"/>
        <v>73</v>
      </c>
      <c r="I25" s="209">
        <v>9407</v>
      </c>
      <c r="J25" s="198">
        <f t="shared" si="3"/>
        <v>69</v>
      </c>
      <c r="K25" s="209">
        <v>9312</v>
      </c>
      <c r="L25" s="198">
        <f t="shared" si="4"/>
        <v>68.3</v>
      </c>
      <c r="M25" s="210">
        <v>13477</v>
      </c>
      <c r="N25" s="209">
        <v>9713</v>
      </c>
      <c r="O25" s="198">
        <f t="shared" si="5"/>
        <v>72.099999999999994</v>
      </c>
      <c r="P25" s="209">
        <f>6441+926+669</f>
        <v>8036</v>
      </c>
      <c r="Q25" s="198">
        <f t="shared" si="6"/>
        <v>59.6</v>
      </c>
      <c r="R25" s="208" t="s">
        <v>138</v>
      </c>
    </row>
    <row r="26" spans="1:18" ht="15.95" customHeight="1" x14ac:dyDescent="0.2">
      <c r="A26" s="215" t="s">
        <v>64</v>
      </c>
      <c r="B26" s="211">
        <v>35603</v>
      </c>
      <c r="C26" s="209">
        <v>32038</v>
      </c>
      <c r="D26" s="198">
        <f t="shared" si="0"/>
        <v>90</v>
      </c>
      <c r="E26" s="209">
        <v>31288</v>
      </c>
      <c r="F26" s="198">
        <f t="shared" si="1"/>
        <v>87.9</v>
      </c>
      <c r="G26" s="209">
        <v>32889</v>
      </c>
      <c r="H26" s="198">
        <f t="shared" si="2"/>
        <v>92.4</v>
      </c>
      <c r="I26" s="209">
        <v>31008</v>
      </c>
      <c r="J26" s="198">
        <f t="shared" si="3"/>
        <v>87.1</v>
      </c>
      <c r="K26" s="209">
        <v>31336</v>
      </c>
      <c r="L26" s="198">
        <f t="shared" si="4"/>
        <v>88</v>
      </c>
      <c r="M26" s="210">
        <v>35386</v>
      </c>
      <c r="N26" s="209">
        <v>34234</v>
      </c>
      <c r="O26" s="198">
        <f t="shared" si="5"/>
        <v>96.7</v>
      </c>
      <c r="P26" s="214">
        <v>10869</v>
      </c>
      <c r="Q26" s="198">
        <f t="shared" si="6"/>
        <v>30.7</v>
      </c>
      <c r="R26" s="208" t="s">
        <v>138</v>
      </c>
    </row>
    <row r="27" spans="1:18" ht="15.95" customHeight="1" x14ac:dyDescent="0.2">
      <c r="A27" s="215" t="s">
        <v>122</v>
      </c>
      <c r="B27" s="211">
        <v>45443</v>
      </c>
      <c r="C27" s="209">
        <v>37287</v>
      </c>
      <c r="D27" s="198">
        <f t="shared" si="0"/>
        <v>82.1</v>
      </c>
      <c r="E27" s="209">
        <v>37285</v>
      </c>
      <c r="F27" s="198">
        <f t="shared" si="1"/>
        <v>82</v>
      </c>
      <c r="G27" s="209">
        <v>31274</v>
      </c>
      <c r="H27" s="198">
        <f t="shared" si="2"/>
        <v>68.8</v>
      </c>
      <c r="I27" s="209">
        <v>37285</v>
      </c>
      <c r="J27" s="198">
        <f t="shared" si="3"/>
        <v>82</v>
      </c>
      <c r="K27" s="209">
        <v>37285</v>
      </c>
      <c r="L27" s="198">
        <f t="shared" si="4"/>
        <v>82</v>
      </c>
      <c r="M27" s="210">
        <v>45367</v>
      </c>
      <c r="N27" s="209">
        <v>36927</v>
      </c>
      <c r="O27" s="198">
        <f t="shared" si="5"/>
        <v>81.400000000000006</v>
      </c>
      <c r="P27" s="209">
        <v>36867</v>
      </c>
      <c r="Q27" s="198">
        <f t="shared" si="6"/>
        <v>81.3</v>
      </c>
      <c r="R27" s="208" t="s">
        <v>138</v>
      </c>
    </row>
    <row r="28" spans="1:18" ht="15.95" customHeight="1" x14ac:dyDescent="0.2">
      <c r="A28" s="215" t="s">
        <v>65</v>
      </c>
      <c r="B28" s="211">
        <v>983</v>
      </c>
      <c r="C28" s="209">
        <v>571</v>
      </c>
      <c r="D28" s="198">
        <f t="shared" si="0"/>
        <v>58.1</v>
      </c>
      <c r="E28" s="209">
        <v>571</v>
      </c>
      <c r="F28" s="198">
        <f t="shared" si="1"/>
        <v>58.1</v>
      </c>
      <c r="G28" s="209">
        <v>764</v>
      </c>
      <c r="H28" s="198">
        <f t="shared" si="2"/>
        <v>77.7</v>
      </c>
      <c r="I28" s="209">
        <v>573</v>
      </c>
      <c r="J28" s="198">
        <f t="shared" si="3"/>
        <v>58.3</v>
      </c>
      <c r="K28" s="209">
        <v>571</v>
      </c>
      <c r="L28" s="198">
        <f t="shared" si="4"/>
        <v>58.1</v>
      </c>
      <c r="M28" s="210">
        <v>976</v>
      </c>
      <c r="N28" s="209">
        <v>883</v>
      </c>
      <c r="O28" s="198">
        <f t="shared" si="5"/>
        <v>90.5</v>
      </c>
      <c r="P28" s="214">
        <f>564+83+60</f>
        <v>707</v>
      </c>
      <c r="Q28" s="198">
        <f t="shared" si="6"/>
        <v>72.400000000000006</v>
      </c>
      <c r="R28" s="208" t="s">
        <v>138</v>
      </c>
    </row>
    <row r="29" spans="1:18" ht="15.95" customHeight="1" x14ac:dyDescent="0.2">
      <c r="A29" s="212" t="s">
        <v>26</v>
      </c>
      <c r="B29" s="211">
        <v>2780</v>
      </c>
      <c r="C29" s="209">
        <v>2371</v>
      </c>
      <c r="D29" s="198">
        <f t="shared" si="0"/>
        <v>85.3</v>
      </c>
      <c r="E29" s="209">
        <v>2371</v>
      </c>
      <c r="F29" s="198">
        <f t="shared" si="1"/>
        <v>85.3</v>
      </c>
      <c r="G29" s="209">
        <v>2217</v>
      </c>
      <c r="H29" s="198">
        <f t="shared" si="2"/>
        <v>79.7</v>
      </c>
      <c r="I29" s="209">
        <v>2371</v>
      </c>
      <c r="J29" s="198">
        <f t="shared" si="3"/>
        <v>85.3</v>
      </c>
      <c r="K29" s="209">
        <v>2371</v>
      </c>
      <c r="L29" s="198">
        <f t="shared" si="4"/>
        <v>85.3</v>
      </c>
      <c r="M29" s="210">
        <v>2774</v>
      </c>
      <c r="N29" s="209">
        <v>2220</v>
      </c>
      <c r="O29" s="198">
        <f t="shared" si="5"/>
        <v>80</v>
      </c>
      <c r="P29" s="209">
        <f>1235+176+148</f>
        <v>1559</v>
      </c>
      <c r="Q29" s="198">
        <f t="shared" si="6"/>
        <v>56.2</v>
      </c>
      <c r="R29" s="208" t="s">
        <v>138</v>
      </c>
    </row>
    <row r="30" spans="1:18" ht="15.95" customHeight="1" x14ac:dyDescent="0.2">
      <c r="A30" s="212" t="s">
        <v>27</v>
      </c>
      <c r="B30" s="211">
        <v>22460</v>
      </c>
      <c r="C30" s="209">
        <v>21717</v>
      </c>
      <c r="D30" s="198">
        <f t="shared" si="0"/>
        <v>96.7</v>
      </c>
      <c r="E30" s="209">
        <v>21928</v>
      </c>
      <c r="F30" s="198">
        <f t="shared" si="1"/>
        <v>97.6</v>
      </c>
      <c r="G30" s="209">
        <v>21920</v>
      </c>
      <c r="H30" s="198">
        <f t="shared" si="2"/>
        <v>97.6</v>
      </c>
      <c r="I30" s="209">
        <v>21950</v>
      </c>
      <c r="J30" s="198">
        <f t="shared" si="3"/>
        <v>97.7</v>
      </c>
      <c r="K30" s="209">
        <v>21928</v>
      </c>
      <c r="L30" s="198">
        <f t="shared" si="4"/>
        <v>97.6</v>
      </c>
      <c r="M30" s="210">
        <v>22451</v>
      </c>
      <c r="N30" s="209">
        <v>22603</v>
      </c>
      <c r="O30" s="198">
        <f t="shared" si="5"/>
        <v>100.7</v>
      </c>
      <c r="P30" s="209">
        <f>14135+1787+1185</f>
        <v>17107</v>
      </c>
      <c r="Q30" s="198">
        <f t="shared" si="6"/>
        <v>76.2</v>
      </c>
      <c r="R30" s="208" t="s">
        <v>138</v>
      </c>
    </row>
    <row r="31" spans="1:18" ht="15.95" customHeight="1" x14ac:dyDescent="0.2">
      <c r="A31" s="212" t="s">
        <v>124</v>
      </c>
      <c r="B31" s="211">
        <v>22233</v>
      </c>
      <c r="C31" s="209">
        <v>15341</v>
      </c>
      <c r="D31" s="198">
        <f t="shared" si="0"/>
        <v>69</v>
      </c>
      <c r="E31" s="209">
        <v>15152</v>
      </c>
      <c r="F31" s="198">
        <f t="shared" si="1"/>
        <v>68.2</v>
      </c>
      <c r="G31" s="209">
        <v>16101</v>
      </c>
      <c r="H31" s="198">
        <f t="shared" si="2"/>
        <v>72.400000000000006</v>
      </c>
      <c r="I31" s="209">
        <v>15332</v>
      </c>
      <c r="J31" s="198">
        <f t="shared" si="3"/>
        <v>69</v>
      </c>
      <c r="K31" s="209">
        <v>14965</v>
      </c>
      <c r="L31" s="198">
        <f t="shared" si="4"/>
        <v>67.3</v>
      </c>
      <c r="M31" s="210">
        <v>21621</v>
      </c>
      <c r="N31" s="209">
        <v>14834</v>
      </c>
      <c r="O31" s="198">
        <f t="shared" si="5"/>
        <v>68.599999999999994</v>
      </c>
      <c r="P31" s="209">
        <f>680+721+554+2112+980+869+1166+1391+1718+1231+726+1077</f>
        <v>13225</v>
      </c>
      <c r="Q31" s="198">
        <f t="shared" si="6"/>
        <v>61.2</v>
      </c>
      <c r="R31" s="208" t="s">
        <v>138</v>
      </c>
    </row>
    <row r="32" spans="1:18" ht="15.95" customHeight="1" x14ac:dyDescent="0.2">
      <c r="A32" s="212" t="s">
        <v>28</v>
      </c>
      <c r="B32" s="213">
        <v>18724</v>
      </c>
      <c r="C32" s="209">
        <v>20873</v>
      </c>
      <c r="D32" s="198">
        <f t="shared" si="0"/>
        <v>111.5</v>
      </c>
      <c r="E32" s="209">
        <v>20873</v>
      </c>
      <c r="F32" s="198">
        <f t="shared" si="1"/>
        <v>111.5</v>
      </c>
      <c r="G32" s="209">
        <v>19968</v>
      </c>
      <c r="H32" s="198">
        <f t="shared" si="2"/>
        <v>106.6</v>
      </c>
      <c r="I32" s="209">
        <v>20873</v>
      </c>
      <c r="J32" s="198">
        <f t="shared" si="3"/>
        <v>111.5</v>
      </c>
      <c r="K32" s="209">
        <v>20873</v>
      </c>
      <c r="L32" s="198">
        <f t="shared" si="4"/>
        <v>111.5</v>
      </c>
      <c r="M32" s="210">
        <v>18715</v>
      </c>
      <c r="N32" s="209">
        <v>21096</v>
      </c>
      <c r="O32" s="198">
        <f t="shared" si="5"/>
        <v>112.7</v>
      </c>
      <c r="P32" s="209">
        <f>9984+1020+1387</f>
        <v>12391</v>
      </c>
      <c r="Q32" s="198">
        <f t="shared" si="6"/>
        <v>66.2</v>
      </c>
      <c r="R32" s="208" t="s">
        <v>138</v>
      </c>
    </row>
    <row r="33" spans="1:18" ht="15.95" customHeight="1" x14ac:dyDescent="0.2">
      <c r="A33" s="215" t="s">
        <v>127</v>
      </c>
      <c r="B33" s="213">
        <v>9167</v>
      </c>
      <c r="C33" s="209">
        <v>8688</v>
      </c>
      <c r="D33" s="198">
        <f t="shared" si="0"/>
        <v>94.8</v>
      </c>
      <c r="E33" s="209">
        <v>8688</v>
      </c>
      <c r="F33" s="198">
        <f t="shared" si="1"/>
        <v>94.8</v>
      </c>
      <c r="G33" s="209">
        <v>9168</v>
      </c>
      <c r="H33" s="198">
        <f t="shared" si="2"/>
        <v>100</v>
      </c>
      <c r="I33" s="209">
        <v>8688</v>
      </c>
      <c r="J33" s="198">
        <f t="shared" si="3"/>
        <v>94.8</v>
      </c>
      <c r="K33" s="209">
        <v>8688</v>
      </c>
      <c r="L33" s="198">
        <f t="shared" si="4"/>
        <v>94.8</v>
      </c>
      <c r="M33" s="210">
        <v>9425</v>
      </c>
      <c r="N33" s="209">
        <v>9524</v>
      </c>
      <c r="O33" s="198">
        <f t="shared" si="5"/>
        <v>101.1</v>
      </c>
      <c r="P33" s="209">
        <f>6780+677+548</f>
        <v>8005</v>
      </c>
      <c r="Q33" s="198">
        <f t="shared" si="6"/>
        <v>84.9</v>
      </c>
      <c r="R33" s="208" t="s">
        <v>138</v>
      </c>
    </row>
    <row r="34" spans="1:18" ht="15.95" customHeight="1" x14ac:dyDescent="0.2">
      <c r="A34" s="215" t="s">
        <v>29</v>
      </c>
      <c r="B34" s="211">
        <v>17654</v>
      </c>
      <c r="C34" s="209">
        <v>15907</v>
      </c>
      <c r="D34" s="198">
        <f t="shared" si="0"/>
        <v>90.1</v>
      </c>
      <c r="E34" s="209">
        <v>16091</v>
      </c>
      <c r="F34" s="198">
        <f t="shared" si="1"/>
        <v>91.1</v>
      </c>
      <c r="G34" s="209">
        <v>14865</v>
      </c>
      <c r="H34" s="198">
        <f t="shared" si="2"/>
        <v>84.2</v>
      </c>
      <c r="I34" s="209">
        <v>16202</v>
      </c>
      <c r="J34" s="198">
        <f t="shared" si="3"/>
        <v>91.8</v>
      </c>
      <c r="K34" s="209">
        <v>16091</v>
      </c>
      <c r="L34" s="198">
        <f t="shared" si="4"/>
        <v>91.1</v>
      </c>
      <c r="M34" s="210">
        <v>17631</v>
      </c>
      <c r="N34" s="209">
        <v>17293</v>
      </c>
      <c r="O34" s="198">
        <f t="shared" si="5"/>
        <v>98.1</v>
      </c>
      <c r="P34" s="209">
        <v>17061</v>
      </c>
      <c r="Q34" s="198">
        <f t="shared" si="6"/>
        <v>96.8</v>
      </c>
      <c r="R34" s="208" t="s">
        <v>138</v>
      </c>
    </row>
    <row r="35" spans="1:18" ht="15.95" customHeight="1" x14ac:dyDescent="0.2">
      <c r="A35" s="212" t="s">
        <v>30</v>
      </c>
      <c r="B35" s="211">
        <v>32909</v>
      </c>
      <c r="C35" s="209">
        <v>23864</v>
      </c>
      <c r="D35" s="198">
        <f t="shared" si="0"/>
        <v>72.5</v>
      </c>
      <c r="E35" s="209">
        <v>24559</v>
      </c>
      <c r="F35" s="198">
        <f t="shared" si="1"/>
        <v>74.599999999999994</v>
      </c>
      <c r="G35" s="209">
        <v>25798</v>
      </c>
      <c r="H35" s="198">
        <f t="shared" si="2"/>
        <v>78.400000000000006</v>
      </c>
      <c r="I35" s="209">
        <v>24559</v>
      </c>
      <c r="J35" s="198">
        <f t="shared" si="3"/>
        <v>74.599999999999994</v>
      </c>
      <c r="K35" s="209">
        <v>24558</v>
      </c>
      <c r="L35" s="198">
        <f t="shared" si="4"/>
        <v>74.599999999999994</v>
      </c>
      <c r="M35" s="210">
        <v>33102</v>
      </c>
      <c r="N35" s="209">
        <v>26292</v>
      </c>
      <c r="O35" s="198">
        <f t="shared" si="5"/>
        <v>79.400000000000006</v>
      </c>
      <c r="P35" s="209">
        <f>2106+2212+2395+2161+1930+2231+2279+2085+2291+2145+2451+1638</f>
        <v>25924</v>
      </c>
      <c r="Q35" s="198">
        <f t="shared" si="6"/>
        <v>78.3</v>
      </c>
      <c r="R35" s="208" t="s">
        <v>138</v>
      </c>
    </row>
    <row r="36" spans="1:18" ht="15.95" customHeight="1" x14ac:dyDescent="0.2">
      <c r="A36" s="212" t="s">
        <v>125</v>
      </c>
      <c r="B36" s="211">
        <v>25534</v>
      </c>
      <c r="C36" s="209">
        <v>27913</v>
      </c>
      <c r="D36" s="198">
        <f t="shared" si="0"/>
        <v>109.3</v>
      </c>
      <c r="E36" s="209">
        <v>27913</v>
      </c>
      <c r="F36" s="198">
        <f t="shared" si="1"/>
        <v>109.3</v>
      </c>
      <c r="G36" s="209">
        <v>22793</v>
      </c>
      <c r="H36" s="198">
        <f t="shared" si="2"/>
        <v>89.3</v>
      </c>
      <c r="I36" s="209">
        <v>27913</v>
      </c>
      <c r="J36" s="198">
        <f t="shared" si="3"/>
        <v>109.3</v>
      </c>
      <c r="K36" s="209">
        <v>27918</v>
      </c>
      <c r="L36" s="198">
        <f t="shared" si="4"/>
        <v>109.3</v>
      </c>
      <c r="M36" s="210">
        <v>25507</v>
      </c>
      <c r="N36" s="209">
        <v>26853</v>
      </c>
      <c r="O36" s="198">
        <f t="shared" si="5"/>
        <v>105.3</v>
      </c>
      <c r="P36" s="209">
        <v>26334</v>
      </c>
      <c r="Q36" s="198">
        <f t="shared" si="6"/>
        <v>103.2</v>
      </c>
      <c r="R36" s="208" t="s">
        <v>138</v>
      </c>
    </row>
    <row r="37" spans="1:18" ht="15.95" customHeight="1" x14ac:dyDescent="0.2">
      <c r="A37" s="212" t="s">
        <v>31</v>
      </c>
      <c r="B37" s="211">
        <v>8074</v>
      </c>
      <c r="C37" s="209">
        <v>8860</v>
      </c>
      <c r="D37" s="198">
        <f t="shared" si="0"/>
        <v>109.7</v>
      </c>
      <c r="E37" s="209">
        <v>8860</v>
      </c>
      <c r="F37" s="198">
        <f t="shared" si="1"/>
        <v>109.7</v>
      </c>
      <c r="G37" s="209">
        <v>6966</v>
      </c>
      <c r="H37" s="198">
        <f t="shared" si="2"/>
        <v>86.3</v>
      </c>
      <c r="I37" s="209">
        <v>8860</v>
      </c>
      <c r="J37" s="198">
        <f t="shared" si="3"/>
        <v>109.7</v>
      </c>
      <c r="K37" s="209">
        <v>8860</v>
      </c>
      <c r="L37" s="198">
        <f t="shared" si="4"/>
        <v>109.7</v>
      </c>
      <c r="M37" s="210">
        <v>8059</v>
      </c>
      <c r="N37" s="209">
        <v>8855</v>
      </c>
      <c r="O37" s="198">
        <f t="shared" si="5"/>
        <v>109.9</v>
      </c>
      <c r="P37" s="209">
        <f>635+656+641+835+857+822+828+749+825+744+737+528</f>
        <v>8857</v>
      </c>
      <c r="Q37" s="198">
        <f t="shared" si="6"/>
        <v>109.9</v>
      </c>
      <c r="R37" s="208" t="s">
        <v>138</v>
      </c>
    </row>
    <row r="38" spans="1:18" ht="15.95" customHeight="1" x14ac:dyDescent="0.2">
      <c r="A38" s="215" t="s">
        <v>104</v>
      </c>
      <c r="B38" s="213">
        <v>9286</v>
      </c>
      <c r="C38" s="209">
        <v>8026</v>
      </c>
      <c r="D38" s="198">
        <f t="shared" si="0"/>
        <v>86.4</v>
      </c>
      <c r="E38" s="209">
        <v>8026</v>
      </c>
      <c r="F38" s="198">
        <f t="shared" si="1"/>
        <v>86.4</v>
      </c>
      <c r="G38" s="209">
        <v>6978</v>
      </c>
      <c r="H38" s="198">
        <f t="shared" si="2"/>
        <v>75.099999999999994</v>
      </c>
      <c r="I38" s="209">
        <v>8026</v>
      </c>
      <c r="J38" s="198">
        <f t="shared" si="3"/>
        <v>86.4</v>
      </c>
      <c r="K38" s="209">
        <v>8026</v>
      </c>
      <c r="L38" s="198">
        <f t="shared" si="4"/>
        <v>86.4</v>
      </c>
      <c r="M38" s="216">
        <v>9278</v>
      </c>
      <c r="N38" s="209">
        <v>8330</v>
      </c>
      <c r="O38" s="198">
        <f t="shared" si="5"/>
        <v>89.8</v>
      </c>
      <c r="P38" s="209">
        <f>678+698+862+686+584+565+702+804+709+631+847+527</f>
        <v>8293</v>
      </c>
      <c r="Q38" s="198">
        <f t="shared" si="6"/>
        <v>89.4</v>
      </c>
      <c r="R38" s="208" t="s">
        <v>138</v>
      </c>
    </row>
    <row r="39" spans="1:18" ht="15.95" customHeight="1" x14ac:dyDescent="0.2">
      <c r="A39" s="212" t="s">
        <v>33</v>
      </c>
      <c r="B39" s="211">
        <v>15490</v>
      </c>
      <c r="C39" s="209">
        <v>12102</v>
      </c>
      <c r="D39" s="198">
        <f t="shared" si="0"/>
        <v>78.099999999999994</v>
      </c>
      <c r="E39" s="209">
        <v>12160</v>
      </c>
      <c r="F39" s="198">
        <f t="shared" si="1"/>
        <v>78.5</v>
      </c>
      <c r="G39" s="209">
        <v>13916</v>
      </c>
      <c r="H39" s="198">
        <f t="shared" si="2"/>
        <v>89.8</v>
      </c>
      <c r="I39" s="209">
        <v>12161</v>
      </c>
      <c r="J39" s="198">
        <f t="shared" si="3"/>
        <v>78.5</v>
      </c>
      <c r="K39" s="209">
        <v>12160</v>
      </c>
      <c r="L39" s="198">
        <f t="shared" si="4"/>
        <v>78.5</v>
      </c>
      <c r="M39" s="210">
        <v>15449</v>
      </c>
      <c r="N39" s="209">
        <v>13281</v>
      </c>
      <c r="O39" s="198">
        <f t="shared" si="5"/>
        <v>86</v>
      </c>
      <c r="P39" s="209">
        <v>13314</v>
      </c>
      <c r="Q39" s="198">
        <f t="shared" si="6"/>
        <v>86.2</v>
      </c>
      <c r="R39" s="208" t="s">
        <v>138</v>
      </c>
    </row>
    <row r="40" spans="1:18" ht="15.95" customHeight="1" x14ac:dyDescent="0.2">
      <c r="A40" s="215" t="s">
        <v>34</v>
      </c>
      <c r="B40" s="211">
        <v>1278</v>
      </c>
      <c r="C40" s="209">
        <v>824</v>
      </c>
      <c r="D40" s="198">
        <f t="shared" si="0"/>
        <v>64.5</v>
      </c>
      <c r="E40" s="209">
        <v>842</v>
      </c>
      <c r="F40" s="198">
        <f t="shared" si="1"/>
        <v>65.900000000000006</v>
      </c>
      <c r="G40" s="209">
        <v>819</v>
      </c>
      <c r="H40" s="198">
        <f t="shared" si="2"/>
        <v>64.099999999999994</v>
      </c>
      <c r="I40" s="209">
        <v>842</v>
      </c>
      <c r="J40" s="198">
        <f t="shared" si="3"/>
        <v>65.900000000000006</v>
      </c>
      <c r="K40" s="209">
        <v>842</v>
      </c>
      <c r="L40" s="198">
        <f t="shared" si="4"/>
        <v>65.900000000000006</v>
      </c>
      <c r="M40" s="210">
        <v>1285</v>
      </c>
      <c r="N40" s="209">
        <v>884</v>
      </c>
      <c r="O40" s="198">
        <f t="shared" si="5"/>
        <v>68.8</v>
      </c>
      <c r="P40" s="209">
        <f>563+89+73</f>
        <v>725</v>
      </c>
      <c r="Q40" s="198">
        <f t="shared" si="6"/>
        <v>56.4</v>
      </c>
      <c r="R40" s="208" t="s">
        <v>138</v>
      </c>
    </row>
    <row r="41" spans="1:18" ht="15.95" customHeight="1" x14ac:dyDescent="0.2">
      <c r="A41" s="215" t="s">
        <v>35</v>
      </c>
      <c r="B41" s="211">
        <v>34456</v>
      </c>
      <c r="C41" s="209">
        <v>34709</v>
      </c>
      <c r="D41" s="198">
        <f t="shared" si="0"/>
        <v>100.7</v>
      </c>
      <c r="E41" s="209">
        <v>34738</v>
      </c>
      <c r="F41" s="198">
        <f t="shared" si="1"/>
        <v>100.8</v>
      </c>
      <c r="G41" s="209">
        <v>31440</v>
      </c>
      <c r="H41" s="198">
        <f t="shared" si="2"/>
        <v>91.2</v>
      </c>
      <c r="I41" s="209">
        <v>34741</v>
      </c>
      <c r="J41" s="198">
        <f t="shared" si="3"/>
        <v>100.8</v>
      </c>
      <c r="K41" s="209">
        <v>34741</v>
      </c>
      <c r="L41" s="198">
        <f t="shared" si="4"/>
        <v>100.8</v>
      </c>
      <c r="M41" s="210">
        <v>34346</v>
      </c>
      <c r="N41" s="209">
        <v>34464</v>
      </c>
      <c r="O41" s="198">
        <f t="shared" si="5"/>
        <v>100.3</v>
      </c>
      <c r="P41" s="214">
        <f>1537+1763+2315+749+1501+2888+3618+2850+2958+2634+2760+2425</f>
        <v>27998</v>
      </c>
      <c r="Q41" s="198">
        <f t="shared" si="6"/>
        <v>81.5</v>
      </c>
      <c r="R41" s="208" t="s">
        <v>138</v>
      </c>
    </row>
    <row r="42" spans="1:18" ht="15.95" customHeight="1" x14ac:dyDescent="0.2">
      <c r="A42" s="215" t="s">
        <v>36</v>
      </c>
      <c r="B42" s="211">
        <v>16922</v>
      </c>
      <c r="C42" s="209">
        <v>17380</v>
      </c>
      <c r="D42" s="198">
        <f t="shared" si="0"/>
        <v>102.7</v>
      </c>
      <c r="E42" s="209">
        <v>17380</v>
      </c>
      <c r="F42" s="198">
        <f t="shared" si="1"/>
        <v>102.7</v>
      </c>
      <c r="G42" s="209">
        <v>18681</v>
      </c>
      <c r="H42" s="198">
        <f t="shared" si="2"/>
        <v>110.4</v>
      </c>
      <c r="I42" s="209">
        <v>17380</v>
      </c>
      <c r="J42" s="198">
        <f t="shared" si="3"/>
        <v>102.7</v>
      </c>
      <c r="K42" s="209">
        <v>17380</v>
      </c>
      <c r="L42" s="198">
        <f t="shared" si="4"/>
        <v>102.7</v>
      </c>
      <c r="M42" s="210">
        <v>16893</v>
      </c>
      <c r="N42" s="209">
        <v>18179</v>
      </c>
      <c r="O42" s="198">
        <f t="shared" si="5"/>
        <v>107.6</v>
      </c>
      <c r="P42" s="209">
        <v>17709</v>
      </c>
      <c r="Q42" s="198">
        <f t="shared" si="6"/>
        <v>104.8</v>
      </c>
      <c r="R42" s="208" t="s">
        <v>138</v>
      </c>
    </row>
    <row r="43" spans="1:18" ht="15.95" customHeight="1" x14ac:dyDescent="0.2">
      <c r="A43" s="215" t="s">
        <v>37</v>
      </c>
      <c r="B43" s="211">
        <v>26426</v>
      </c>
      <c r="C43" s="209">
        <v>23758</v>
      </c>
      <c r="D43" s="198">
        <f t="shared" si="0"/>
        <v>89.9</v>
      </c>
      <c r="E43" s="209">
        <v>23563</v>
      </c>
      <c r="F43" s="198">
        <f t="shared" si="1"/>
        <v>89.2</v>
      </c>
      <c r="G43" s="209">
        <v>27618</v>
      </c>
      <c r="H43" s="198">
        <f t="shared" si="2"/>
        <v>104.5</v>
      </c>
      <c r="I43" s="209">
        <v>23579</v>
      </c>
      <c r="J43" s="198">
        <f t="shared" si="3"/>
        <v>89.2</v>
      </c>
      <c r="K43" s="209">
        <v>23573</v>
      </c>
      <c r="L43" s="198">
        <f t="shared" si="4"/>
        <v>89.2</v>
      </c>
      <c r="M43" s="210">
        <v>26744</v>
      </c>
      <c r="N43" s="209">
        <v>23334</v>
      </c>
      <c r="O43" s="198">
        <f t="shared" si="5"/>
        <v>87.2</v>
      </c>
      <c r="P43" s="214">
        <f>1767+2147+1951+2152+1577+1905+2084+1863+2669+1948+1792+1312</f>
        <v>23167</v>
      </c>
      <c r="Q43" s="198">
        <f t="shared" si="6"/>
        <v>86.6</v>
      </c>
      <c r="R43" s="208" t="s">
        <v>138</v>
      </c>
    </row>
    <row r="44" spans="1:18" ht="15.95" customHeight="1" x14ac:dyDescent="0.2">
      <c r="A44" s="212" t="s">
        <v>38</v>
      </c>
      <c r="B44" s="213">
        <v>72498</v>
      </c>
      <c r="C44" s="209">
        <v>77835</v>
      </c>
      <c r="D44" s="198">
        <f t="shared" si="0"/>
        <v>107.4</v>
      </c>
      <c r="E44" s="209">
        <v>77499</v>
      </c>
      <c r="F44" s="198">
        <f t="shared" si="1"/>
        <v>106.9</v>
      </c>
      <c r="G44" s="209">
        <v>69680</v>
      </c>
      <c r="H44" s="198">
        <f t="shared" si="2"/>
        <v>96.1</v>
      </c>
      <c r="I44" s="209">
        <v>78693</v>
      </c>
      <c r="J44" s="198">
        <f t="shared" si="3"/>
        <v>108.5</v>
      </c>
      <c r="K44" s="209">
        <v>77499</v>
      </c>
      <c r="L44" s="198">
        <f t="shared" si="4"/>
        <v>106.9</v>
      </c>
      <c r="M44" s="210">
        <v>71983</v>
      </c>
      <c r="N44" s="209">
        <v>79358</v>
      </c>
      <c r="O44" s="198">
        <f t="shared" si="5"/>
        <v>110.2</v>
      </c>
      <c r="P44" s="209">
        <v>73227</v>
      </c>
      <c r="Q44" s="198">
        <f t="shared" si="6"/>
        <v>101.7</v>
      </c>
      <c r="R44" s="208" t="s">
        <v>138</v>
      </c>
    </row>
    <row r="45" spans="1:18" ht="15.95" customHeight="1" x14ac:dyDescent="0.2">
      <c r="A45" s="212" t="s">
        <v>39</v>
      </c>
      <c r="B45" s="211">
        <v>1234</v>
      </c>
      <c r="C45" s="209">
        <v>795</v>
      </c>
      <c r="D45" s="198">
        <f t="shared" si="0"/>
        <v>64.400000000000006</v>
      </c>
      <c r="E45" s="209">
        <v>818</v>
      </c>
      <c r="F45" s="198">
        <f t="shared" si="1"/>
        <v>66.3</v>
      </c>
      <c r="G45" s="209">
        <v>907</v>
      </c>
      <c r="H45" s="198">
        <f t="shared" si="2"/>
        <v>73.5</v>
      </c>
      <c r="I45" s="209">
        <v>818</v>
      </c>
      <c r="J45" s="198">
        <f t="shared" si="3"/>
        <v>66.3</v>
      </c>
      <c r="K45" s="209">
        <v>818</v>
      </c>
      <c r="L45" s="198">
        <f t="shared" si="4"/>
        <v>66.3</v>
      </c>
      <c r="M45" s="210">
        <v>1208</v>
      </c>
      <c r="N45" s="209">
        <v>883</v>
      </c>
      <c r="O45" s="198">
        <f t="shared" si="5"/>
        <v>73.099999999999994</v>
      </c>
      <c r="P45" s="209">
        <f>522+178+56</f>
        <v>756</v>
      </c>
      <c r="Q45" s="198">
        <f t="shared" si="6"/>
        <v>62.6</v>
      </c>
      <c r="R45" s="208" t="s">
        <v>138</v>
      </c>
    </row>
    <row r="46" spans="1:18" ht="15.95" customHeight="1" thickBot="1" x14ac:dyDescent="0.25">
      <c r="A46" s="207" t="s">
        <v>40</v>
      </c>
      <c r="B46" s="206">
        <v>1827</v>
      </c>
      <c r="C46" s="204">
        <v>991</v>
      </c>
      <c r="D46" s="198">
        <f t="shared" si="0"/>
        <v>54.2</v>
      </c>
      <c r="E46" s="204">
        <v>992</v>
      </c>
      <c r="F46" s="198">
        <f t="shared" si="1"/>
        <v>54.3</v>
      </c>
      <c r="G46" s="204">
        <v>943</v>
      </c>
      <c r="H46" s="198">
        <f t="shared" si="2"/>
        <v>51.6</v>
      </c>
      <c r="I46" s="204">
        <v>991</v>
      </c>
      <c r="J46" s="198">
        <f t="shared" si="3"/>
        <v>54.2</v>
      </c>
      <c r="K46" s="204">
        <v>991</v>
      </c>
      <c r="L46" s="198">
        <f t="shared" si="4"/>
        <v>54.2</v>
      </c>
      <c r="M46" s="205">
        <v>1782</v>
      </c>
      <c r="N46" s="204">
        <v>1089</v>
      </c>
      <c r="O46" s="198">
        <f t="shared" si="5"/>
        <v>61.1</v>
      </c>
      <c r="P46" s="203">
        <f>657+66+124+174</f>
        <v>1021</v>
      </c>
      <c r="Q46" s="198">
        <f t="shared" si="6"/>
        <v>57.3</v>
      </c>
      <c r="R46" s="202" t="s">
        <v>138</v>
      </c>
    </row>
    <row r="47" spans="1:18" ht="15.95" customHeight="1" thickBot="1" x14ac:dyDescent="0.25">
      <c r="A47" s="201" t="s">
        <v>41</v>
      </c>
      <c r="B47" s="200">
        <f>SUM(B11:B46)</f>
        <v>856434</v>
      </c>
      <c r="C47" s="199">
        <f>SUM(C11:C46)</f>
        <v>794978</v>
      </c>
      <c r="D47" s="198">
        <f t="shared" si="0"/>
        <v>92.8</v>
      </c>
      <c r="E47" s="199">
        <f>SUM(E11:E46)</f>
        <v>795317</v>
      </c>
      <c r="F47" s="198">
        <f t="shared" si="1"/>
        <v>92.9</v>
      </c>
      <c r="G47" s="199">
        <f>SUM(G11:G46)</f>
        <v>798923</v>
      </c>
      <c r="H47" s="198">
        <f t="shared" si="2"/>
        <v>93.3</v>
      </c>
      <c r="I47" s="199">
        <f>SUM(I11:I46)</f>
        <v>796979</v>
      </c>
      <c r="J47" s="198">
        <f t="shared" si="3"/>
        <v>93.1</v>
      </c>
      <c r="K47" s="199">
        <f>SUM(K11:K46)</f>
        <v>795254</v>
      </c>
      <c r="L47" s="198">
        <f t="shared" si="4"/>
        <v>92.9</v>
      </c>
      <c r="M47" s="200">
        <f>SUM(M11:M46)</f>
        <v>856185</v>
      </c>
      <c r="N47" s="199">
        <f>SUM(N11:N46)</f>
        <v>809963</v>
      </c>
      <c r="O47" s="198">
        <f t="shared" si="5"/>
        <v>94.6</v>
      </c>
      <c r="P47" s="199">
        <f>SUM(P11:P46)</f>
        <v>717589</v>
      </c>
      <c r="Q47" s="198">
        <f t="shared" si="6"/>
        <v>83.8</v>
      </c>
      <c r="R47" s="197"/>
    </row>
    <row r="48" spans="1:18" ht="15.95" customHeight="1" thickBot="1" x14ac:dyDescent="0.25">
      <c r="A48" s="195" t="s">
        <v>211</v>
      </c>
      <c r="B48" s="195"/>
      <c r="C48" s="196">
        <f ca="1">NOW()</f>
        <v>43938.790609606483</v>
      </c>
      <c r="D48" s="194"/>
      <c r="E48" s="195"/>
      <c r="F48" s="190"/>
      <c r="G48" s="195"/>
      <c r="H48" s="190"/>
      <c r="I48" s="195"/>
      <c r="J48" s="190"/>
      <c r="K48" s="194"/>
      <c r="L48" s="190"/>
      <c r="M48" s="193"/>
      <c r="N48" s="192"/>
      <c r="O48" s="191"/>
      <c r="P48" s="190"/>
      <c r="Q48" s="190"/>
      <c r="R48" s="189"/>
    </row>
    <row r="51" spans="5:10" x14ac:dyDescent="0.2">
      <c r="E51" s="188"/>
      <c r="F51" s="188"/>
      <c r="G51" s="188"/>
    </row>
    <row r="52" spans="5:10" x14ac:dyDescent="0.2">
      <c r="E52" s="188"/>
      <c r="G52" s="188"/>
    </row>
    <row r="53" spans="5:10" x14ac:dyDescent="0.2">
      <c r="G53" s="188"/>
      <c r="H53" s="188"/>
    </row>
    <row r="55" spans="5:10" x14ac:dyDescent="0.2">
      <c r="J55" s="188"/>
    </row>
  </sheetData>
  <mergeCells count="8">
    <mergeCell ref="A8:Q8"/>
    <mergeCell ref="C9:D9"/>
    <mergeCell ref="E9:F9"/>
    <mergeCell ref="G9:H9"/>
    <mergeCell ref="I9:J9"/>
    <mergeCell ref="K9:L9"/>
    <mergeCell ref="N9:O9"/>
    <mergeCell ref="P9:Q9"/>
  </mergeCells>
  <conditionalFormatting sqref="D11:D47 F11:F47 H11:H47 J11:J47 L11:L47 O11:O47 Q11:Q47">
    <cfRule type="cellIs" dxfId="763" priority="61" stopIfTrue="1" operator="between">
      <formula>0.01</formula>
      <formula>49.9</formula>
    </cfRule>
    <cfRule type="cellIs" dxfId="762" priority="62" stopIfTrue="1" operator="between">
      <formula>50</formula>
      <formula>79.9</formula>
    </cfRule>
    <cfRule type="cellIs" dxfId="761" priority="63" stopIfTrue="1" operator="between">
      <formula>80</formula>
      <formula>94.9</formula>
    </cfRule>
    <cfRule type="cellIs" dxfId="760" priority="64" stopIfTrue="1" operator="greaterThanOrEqual">
      <formula>95</formula>
    </cfRule>
  </conditionalFormatting>
  <printOptions horizontalCentered="1"/>
  <pageMargins left="0.19685039370078741" right="0.19685039370078741" top="0.9055118110236221" bottom="0.27559055118110237" header="0" footer="0"/>
  <pageSetup scale="80" orientation="landscape" r:id="rId1"/>
  <headerFooter alignWithMargins="0">
    <oddHeader>&amp;L       &amp;G&amp;C&amp;"Arial,Negrita"Ministerio de la Protección Social
República de Colombia
Dirección General de Salud Pública
Programa Ampliado de Inmunizaciones - PAI&amp;R&amp;G           .</oddHeader>
    <oddFooter>&amp;L     Página &amp;P&amp;C&amp;F&amp;R&amp;D           .</oddFooter>
  </headerFooter>
  <drawing r:id="rId2"/>
  <legacyDrawingHF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CC"/>
  </sheetPr>
  <dimension ref="A5:R54"/>
  <sheetViews>
    <sheetView zoomScale="90" zoomScaleNormal="90" workbookViewId="0">
      <pane xSplit="2" ySplit="10" topLeftCell="C11" activePane="bottomRight" state="frozen"/>
      <selection activeCell="A4" sqref="A4"/>
      <selection pane="topRight" activeCell="A4" sqref="A4"/>
      <selection pane="bottomLeft" activeCell="A4" sqref="A4"/>
      <selection pane="bottomRight" activeCell="C11" sqref="C11"/>
    </sheetView>
  </sheetViews>
  <sheetFormatPr baseColWidth="10" defaultRowHeight="12.75" x14ac:dyDescent="0.2"/>
  <cols>
    <col min="1" max="1" width="4.5703125" style="187" customWidth="1"/>
    <col min="2" max="2" width="27" style="187" bestFit="1" customWidth="1"/>
    <col min="3" max="3" width="12.28515625" style="187" customWidth="1"/>
    <col min="4" max="6" width="9.5703125" style="187" customWidth="1"/>
    <col min="7" max="7" width="6.7109375" style="187" customWidth="1"/>
    <col min="8" max="8" width="9.140625" style="187" customWidth="1"/>
    <col min="9" max="9" width="6.7109375" style="187" customWidth="1"/>
    <col min="10" max="10" width="9.140625" style="187" customWidth="1"/>
    <col min="11" max="11" width="6.7109375" style="187" customWidth="1"/>
    <col min="12" max="12" width="9.140625" style="187" customWidth="1"/>
    <col min="13" max="13" width="6.7109375" style="187" customWidth="1"/>
    <col min="14" max="14" width="10.7109375" style="187" bestFit="1" customWidth="1"/>
    <col min="15" max="15" width="9.28515625" style="187" customWidth="1"/>
    <col min="16" max="16" width="6.7109375" style="187" bestFit="1" customWidth="1"/>
    <col min="17" max="17" width="10.7109375" style="187" customWidth="1"/>
    <col min="18" max="18" width="6.7109375" style="187" bestFit="1" customWidth="1"/>
    <col min="19" max="16384" width="11.42578125" style="187"/>
  </cols>
  <sheetData>
    <row r="5" spans="1:18" x14ac:dyDescent="0.2">
      <c r="A5" s="702" t="s">
        <v>305</v>
      </c>
      <c r="C5" s="753" t="s">
        <v>315</v>
      </c>
    </row>
    <row r="6" spans="1:18" x14ac:dyDescent="0.2">
      <c r="A6" s="702" t="s">
        <v>306</v>
      </c>
      <c r="C6" s="776">
        <v>39825</v>
      </c>
    </row>
    <row r="7" spans="1:18" x14ac:dyDescent="0.2">
      <c r="A7" s="702" t="s">
        <v>307</v>
      </c>
      <c r="C7" s="766" t="s">
        <v>312</v>
      </c>
    </row>
    <row r="8" spans="1:18" ht="21" customHeight="1" thickBot="1" x14ac:dyDescent="0.25">
      <c r="B8" s="1884" t="s">
        <v>150</v>
      </c>
      <c r="C8" s="1884"/>
      <c r="D8" s="1884"/>
      <c r="E8" s="1884"/>
      <c r="F8" s="1884"/>
      <c r="G8" s="1884"/>
      <c r="H8" s="1884"/>
      <c r="I8" s="1884"/>
      <c r="J8" s="1884"/>
      <c r="K8" s="1884"/>
      <c r="L8" s="1884"/>
      <c r="M8" s="1884"/>
      <c r="N8" s="1884"/>
      <c r="O8" s="1884"/>
      <c r="P8" s="1884"/>
      <c r="Q8" s="1884"/>
      <c r="R8" s="1884"/>
    </row>
    <row r="9" spans="1:18" ht="29.25" customHeight="1" thickBot="1" x14ac:dyDescent="0.25">
      <c r="B9" s="267"/>
      <c r="C9" s="266" t="s">
        <v>53</v>
      </c>
      <c r="D9" s="1891" t="s">
        <v>3</v>
      </c>
      <c r="E9" s="1892"/>
      <c r="F9" s="1891" t="s">
        <v>6</v>
      </c>
      <c r="G9" s="1892"/>
      <c r="H9" s="1891" t="s">
        <v>7</v>
      </c>
      <c r="I9" s="1893"/>
      <c r="J9" s="1894" t="s">
        <v>54</v>
      </c>
      <c r="K9" s="1892"/>
      <c r="L9" s="1891" t="s">
        <v>89</v>
      </c>
      <c r="M9" s="1892"/>
      <c r="N9" s="265" t="s">
        <v>81</v>
      </c>
      <c r="O9" s="1891" t="s">
        <v>90</v>
      </c>
      <c r="P9" s="1892"/>
      <c r="Q9" s="1895" t="s">
        <v>136</v>
      </c>
      <c r="R9" s="1896"/>
    </row>
    <row r="10" spans="1:18" ht="18.75" customHeight="1" thickBot="1" x14ac:dyDescent="0.25">
      <c r="A10" s="195" t="s">
        <v>140</v>
      </c>
      <c r="B10" s="264" t="s">
        <v>210</v>
      </c>
      <c r="C10" s="263" t="s">
        <v>74</v>
      </c>
      <c r="D10" s="260" t="s">
        <v>83</v>
      </c>
      <c r="E10" s="260" t="s">
        <v>5</v>
      </c>
      <c r="F10" s="260" t="s">
        <v>83</v>
      </c>
      <c r="G10" s="260" t="s">
        <v>5</v>
      </c>
      <c r="H10" s="260" t="s">
        <v>91</v>
      </c>
      <c r="I10" s="260" t="s">
        <v>5</v>
      </c>
      <c r="J10" s="260" t="s">
        <v>83</v>
      </c>
      <c r="K10" s="260" t="s">
        <v>5</v>
      </c>
      <c r="L10" s="261" t="s">
        <v>83</v>
      </c>
      <c r="M10" s="260" t="s">
        <v>5</v>
      </c>
      <c r="N10" s="262" t="s">
        <v>92</v>
      </c>
      <c r="O10" s="261" t="s">
        <v>91</v>
      </c>
      <c r="P10" s="260" t="s">
        <v>5</v>
      </c>
      <c r="Q10" s="261" t="s">
        <v>91</v>
      </c>
      <c r="R10" s="260" t="s">
        <v>5</v>
      </c>
    </row>
    <row r="11" spans="1:18" ht="18.95" customHeight="1" thickBot="1" x14ac:dyDescent="0.25">
      <c r="A11" s="243">
        <v>91</v>
      </c>
      <c r="B11" s="258" t="s">
        <v>12</v>
      </c>
      <c r="C11" s="255">
        <v>2140</v>
      </c>
      <c r="D11" s="254">
        <v>1657</v>
      </c>
      <c r="E11" s="529">
        <f t="shared" ref="E11:E47" si="0">ROUND(D11/$C11*100,1)</f>
        <v>77.400000000000006</v>
      </c>
      <c r="F11" s="257">
        <v>1657</v>
      </c>
      <c r="G11" s="529">
        <f t="shared" ref="G11:G47" si="1">ROUND(F11/$C11*100,1)</f>
        <v>77.400000000000006</v>
      </c>
      <c r="H11" s="257">
        <v>1761</v>
      </c>
      <c r="I11" s="529">
        <f t="shared" ref="I11:I47" si="2">ROUND(H11/$C11*100,1)</f>
        <v>82.3</v>
      </c>
      <c r="J11" s="257">
        <v>1657</v>
      </c>
      <c r="K11" s="529">
        <f t="shared" ref="K11:K47" si="3">ROUND(J11/$C11*100,1)</f>
        <v>77.400000000000006</v>
      </c>
      <c r="L11" s="256">
        <v>1657</v>
      </c>
      <c r="M11" s="529">
        <f t="shared" ref="M11:M47" si="4">ROUND(L11/$C11*100,1)</f>
        <v>77.400000000000006</v>
      </c>
      <c r="N11" s="255">
        <v>2105</v>
      </c>
      <c r="O11" s="254">
        <v>1613</v>
      </c>
      <c r="P11" s="529">
        <f t="shared" ref="P11:P47" si="5">ROUND(O11/$N11*100,1)</f>
        <v>76.599999999999994</v>
      </c>
      <c r="Q11" s="253">
        <v>1607</v>
      </c>
      <c r="R11" s="529">
        <f t="shared" ref="R11:R47" si="6">ROUND(Q11/$N11*100,1)</f>
        <v>76.3</v>
      </c>
    </row>
    <row r="12" spans="1:18" ht="18.95" customHeight="1" x14ac:dyDescent="0.2">
      <c r="A12" s="259" t="s">
        <v>141</v>
      </c>
      <c r="B12" s="523" t="s">
        <v>11</v>
      </c>
      <c r="C12" s="524">
        <v>102748</v>
      </c>
      <c r="D12" s="525">
        <v>85158</v>
      </c>
      <c r="E12" s="515">
        <f t="shared" si="0"/>
        <v>82.9</v>
      </c>
      <c r="F12" s="526">
        <v>85375</v>
      </c>
      <c r="G12" s="515">
        <f t="shared" si="1"/>
        <v>83.1</v>
      </c>
      <c r="H12" s="526">
        <v>93578</v>
      </c>
      <c r="I12" s="515">
        <f t="shared" si="2"/>
        <v>91.1</v>
      </c>
      <c r="J12" s="526">
        <v>85182</v>
      </c>
      <c r="K12" s="515">
        <f t="shared" si="3"/>
        <v>82.9</v>
      </c>
      <c r="L12" s="527">
        <v>85465</v>
      </c>
      <c r="M12" s="515">
        <f t="shared" si="4"/>
        <v>83.2</v>
      </c>
      <c r="N12" s="524">
        <v>102781</v>
      </c>
      <c r="O12" s="525">
        <v>91483</v>
      </c>
      <c r="P12" s="515">
        <f t="shared" si="5"/>
        <v>89</v>
      </c>
      <c r="Q12" s="528">
        <v>85841</v>
      </c>
      <c r="R12" s="515">
        <f t="shared" si="6"/>
        <v>83.5</v>
      </c>
    </row>
    <row r="13" spans="1:18" ht="18.95" customHeight="1" x14ac:dyDescent="0.2">
      <c r="A13" s="243">
        <v>81</v>
      </c>
      <c r="B13" s="247" t="s">
        <v>13</v>
      </c>
      <c r="C13" s="239">
        <v>6686</v>
      </c>
      <c r="D13" s="238">
        <v>5150</v>
      </c>
      <c r="E13" s="198">
        <f t="shared" si="0"/>
        <v>77</v>
      </c>
      <c r="F13" s="241">
        <v>5153</v>
      </c>
      <c r="G13" s="198">
        <f t="shared" si="1"/>
        <v>77.099999999999994</v>
      </c>
      <c r="H13" s="241">
        <v>4705</v>
      </c>
      <c r="I13" s="198">
        <f t="shared" si="2"/>
        <v>70.400000000000006</v>
      </c>
      <c r="J13" s="241">
        <v>5266</v>
      </c>
      <c r="K13" s="198">
        <f t="shared" si="3"/>
        <v>78.8</v>
      </c>
      <c r="L13" s="240">
        <v>5153</v>
      </c>
      <c r="M13" s="198">
        <f t="shared" si="4"/>
        <v>77.099999999999994</v>
      </c>
      <c r="N13" s="239">
        <v>6777</v>
      </c>
      <c r="O13" s="238">
        <v>5311</v>
      </c>
      <c r="P13" s="198">
        <f t="shared" si="5"/>
        <v>78.400000000000006</v>
      </c>
      <c r="Q13" s="237">
        <v>5311</v>
      </c>
      <c r="R13" s="198">
        <f t="shared" si="6"/>
        <v>78.400000000000006</v>
      </c>
    </row>
    <row r="14" spans="1:18" ht="18.95" customHeight="1" x14ac:dyDescent="0.2">
      <c r="A14" s="243" t="s">
        <v>142</v>
      </c>
      <c r="B14" s="247" t="s">
        <v>14</v>
      </c>
      <c r="C14" s="239">
        <v>22234</v>
      </c>
      <c r="D14" s="238">
        <v>20430</v>
      </c>
      <c r="E14" s="198">
        <f t="shared" si="0"/>
        <v>91.9</v>
      </c>
      <c r="F14" s="241">
        <v>20431</v>
      </c>
      <c r="G14" s="198">
        <f t="shared" si="1"/>
        <v>91.9</v>
      </c>
      <c r="H14" s="241">
        <v>20168</v>
      </c>
      <c r="I14" s="198">
        <f t="shared" si="2"/>
        <v>90.7</v>
      </c>
      <c r="J14" s="241">
        <v>20431</v>
      </c>
      <c r="K14" s="198">
        <f t="shared" si="3"/>
        <v>91.9</v>
      </c>
      <c r="L14" s="240">
        <v>20431</v>
      </c>
      <c r="M14" s="198">
        <f t="shared" si="4"/>
        <v>91.9</v>
      </c>
      <c r="N14" s="239">
        <v>22399</v>
      </c>
      <c r="O14" s="238">
        <v>20017</v>
      </c>
      <c r="P14" s="198">
        <f t="shared" si="5"/>
        <v>89.4</v>
      </c>
      <c r="Q14" s="237">
        <f>(14033+3351)+2069</f>
        <v>19453</v>
      </c>
      <c r="R14" s="198">
        <f t="shared" si="6"/>
        <v>86.8</v>
      </c>
    </row>
    <row r="15" spans="1:18" ht="18.95" customHeight="1" x14ac:dyDescent="0.2">
      <c r="A15" s="243" t="s">
        <v>143</v>
      </c>
      <c r="B15" s="212" t="s">
        <v>115</v>
      </c>
      <c r="C15" s="239">
        <v>20639</v>
      </c>
      <c r="D15" s="238">
        <v>22000</v>
      </c>
      <c r="E15" s="198">
        <f t="shared" si="0"/>
        <v>106.6</v>
      </c>
      <c r="F15" s="241">
        <v>22044</v>
      </c>
      <c r="G15" s="198">
        <f t="shared" si="1"/>
        <v>106.8</v>
      </c>
      <c r="H15" s="241">
        <v>27747</v>
      </c>
      <c r="I15" s="198">
        <f t="shared" si="2"/>
        <v>134.4</v>
      </c>
      <c r="J15" s="241">
        <v>22060</v>
      </c>
      <c r="K15" s="198">
        <f t="shared" si="3"/>
        <v>106.9</v>
      </c>
      <c r="L15" s="240">
        <v>22044</v>
      </c>
      <c r="M15" s="198">
        <f t="shared" si="4"/>
        <v>106.8</v>
      </c>
      <c r="N15" s="239">
        <v>20932</v>
      </c>
      <c r="O15" s="238">
        <v>21557</v>
      </c>
      <c r="P15" s="198">
        <f t="shared" si="5"/>
        <v>103</v>
      </c>
      <c r="Q15" s="237">
        <v>21025</v>
      </c>
      <c r="R15" s="198">
        <f t="shared" si="6"/>
        <v>100.4</v>
      </c>
    </row>
    <row r="16" spans="1:18" ht="18.95" customHeight="1" x14ac:dyDescent="0.2">
      <c r="A16" s="243">
        <v>11</v>
      </c>
      <c r="B16" s="247" t="s">
        <v>15</v>
      </c>
      <c r="C16" s="252">
        <v>118677</v>
      </c>
      <c r="D16" s="238">
        <v>114688</v>
      </c>
      <c r="E16" s="198">
        <f t="shared" si="0"/>
        <v>96.6</v>
      </c>
      <c r="F16" s="241">
        <v>114632</v>
      </c>
      <c r="G16" s="198">
        <f t="shared" si="1"/>
        <v>96.6</v>
      </c>
      <c r="H16" s="241">
        <v>116371</v>
      </c>
      <c r="I16" s="198">
        <f t="shared" si="2"/>
        <v>98.1</v>
      </c>
      <c r="J16" s="241">
        <v>114566</v>
      </c>
      <c r="K16" s="198">
        <f t="shared" si="3"/>
        <v>96.5</v>
      </c>
      <c r="L16" s="240">
        <v>114632</v>
      </c>
      <c r="M16" s="198">
        <f t="shared" si="4"/>
        <v>96.6</v>
      </c>
      <c r="N16" s="252">
        <v>118141</v>
      </c>
      <c r="O16" s="238">
        <v>115129</v>
      </c>
      <c r="P16" s="198">
        <f t="shared" si="5"/>
        <v>97.5</v>
      </c>
      <c r="Q16" s="237">
        <v>87437</v>
      </c>
      <c r="R16" s="198">
        <f t="shared" si="6"/>
        <v>74</v>
      </c>
    </row>
    <row r="17" spans="1:18" ht="18.95" customHeight="1" x14ac:dyDescent="0.2">
      <c r="A17" s="243">
        <v>13</v>
      </c>
      <c r="B17" s="247" t="s">
        <v>62</v>
      </c>
      <c r="C17" s="239">
        <v>24404</v>
      </c>
      <c r="D17" s="246">
        <v>19966</v>
      </c>
      <c r="E17" s="198">
        <f t="shared" si="0"/>
        <v>81.8</v>
      </c>
      <c r="F17" s="241">
        <v>20038</v>
      </c>
      <c r="G17" s="198">
        <f t="shared" si="1"/>
        <v>82.1</v>
      </c>
      <c r="H17" s="241">
        <v>18564</v>
      </c>
      <c r="I17" s="198">
        <f t="shared" si="2"/>
        <v>76.099999999999994</v>
      </c>
      <c r="J17" s="241">
        <v>20106</v>
      </c>
      <c r="K17" s="198">
        <f t="shared" si="3"/>
        <v>82.4</v>
      </c>
      <c r="L17" s="240">
        <v>20038</v>
      </c>
      <c r="M17" s="198">
        <f t="shared" si="4"/>
        <v>82.1</v>
      </c>
      <c r="N17" s="239">
        <v>24110</v>
      </c>
      <c r="O17" s="238">
        <v>19103</v>
      </c>
      <c r="P17" s="198">
        <f t="shared" si="5"/>
        <v>79.2</v>
      </c>
      <c r="Q17" s="237">
        <f>11637+1978</f>
        <v>13615</v>
      </c>
      <c r="R17" s="198">
        <f t="shared" si="6"/>
        <v>56.5</v>
      </c>
    </row>
    <row r="18" spans="1:18" ht="18.95" customHeight="1" x14ac:dyDescent="0.2">
      <c r="A18" s="243">
        <v>14</v>
      </c>
      <c r="B18" s="247" t="s">
        <v>45</v>
      </c>
      <c r="C18" s="239">
        <v>17315</v>
      </c>
      <c r="D18" s="246">
        <v>22344</v>
      </c>
      <c r="E18" s="198">
        <f t="shared" si="0"/>
        <v>129</v>
      </c>
      <c r="F18" s="241">
        <v>21711</v>
      </c>
      <c r="G18" s="198">
        <f t="shared" si="1"/>
        <v>125.4</v>
      </c>
      <c r="H18" s="241">
        <v>23543</v>
      </c>
      <c r="I18" s="198">
        <f t="shared" si="2"/>
        <v>136</v>
      </c>
      <c r="J18" s="241">
        <v>21720</v>
      </c>
      <c r="K18" s="198">
        <f t="shared" si="3"/>
        <v>125.4</v>
      </c>
      <c r="L18" s="240">
        <v>21711</v>
      </c>
      <c r="M18" s="198">
        <f t="shared" si="4"/>
        <v>125.4</v>
      </c>
      <c r="N18" s="239">
        <v>17425</v>
      </c>
      <c r="O18" s="238">
        <v>22885</v>
      </c>
      <c r="P18" s="198">
        <f t="shared" si="5"/>
        <v>131.30000000000001</v>
      </c>
      <c r="Q18" s="237">
        <f>14037+3668</f>
        <v>17705</v>
      </c>
      <c r="R18" s="198">
        <f t="shared" si="6"/>
        <v>101.6</v>
      </c>
    </row>
    <row r="19" spans="1:18" ht="18.95" customHeight="1" x14ac:dyDescent="0.2">
      <c r="A19" s="243">
        <v>15</v>
      </c>
      <c r="B19" s="242" t="s">
        <v>17</v>
      </c>
      <c r="C19" s="239">
        <v>23736</v>
      </c>
      <c r="D19" s="238">
        <v>21299</v>
      </c>
      <c r="E19" s="198">
        <f t="shared" si="0"/>
        <v>89.7</v>
      </c>
      <c r="F19" s="241">
        <v>21302</v>
      </c>
      <c r="G19" s="198">
        <f t="shared" si="1"/>
        <v>89.7</v>
      </c>
      <c r="H19" s="241">
        <v>19963</v>
      </c>
      <c r="I19" s="198">
        <f t="shared" si="2"/>
        <v>84.1</v>
      </c>
      <c r="J19" s="241">
        <v>21302</v>
      </c>
      <c r="K19" s="198">
        <f t="shared" si="3"/>
        <v>89.7</v>
      </c>
      <c r="L19" s="240">
        <v>21302</v>
      </c>
      <c r="M19" s="198">
        <f t="shared" si="4"/>
        <v>89.7</v>
      </c>
      <c r="N19" s="239">
        <v>24110</v>
      </c>
      <c r="O19" s="238">
        <v>21017</v>
      </c>
      <c r="P19" s="198">
        <f t="shared" si="5"/>
        <v>87.2</v>
      </c>
      <c r="Q19" s="237">
        <f>17103+2936</f>
        <v>20039</v>
      </c>
      <c r="R19" s="198">
        <f t="shared" si="6"/>
        <v>83.1</v>
      </c>
    </row>
    <row r="20" spans="1:18" ht="18.95" customHeight="1" x14ac:dyDescent="0.2">
      <c r="A20" s="243">
        <v>17</v>
      </c>
      <c r="B20" s="242" t="s">
        <v>19</v>
      </c>
      <c r="C20" s="239">
        <v>16867</v>
      </c>
      <c r="D20" s="238">
        <v>13467</v>
      </c>
      <c r="E20" s="198">
        <f t="shared" si="0"/>
        <v>79.8</v>
      </c>
      <c r="F20" s="241">
        <v>13617</v>
      </c>
      <c r="G20" s="198">
        <f t="shared" si="1"/>
        <v>80.7</v>
      </c>
      <c r="H20" s="241">
        <v>11328</v>
      </c>
      <c r="I20" s="198">
        <f t="shared" si="2"/>
        <v>67.2</v>
      </c>
      <c r="J20" s="241">
        <v>13631</v>
      </c>
      <c r="K20" s="198">
        <f t="shared" si="3"/>
        <v>80.8</v>
      </c>
      <c r="L20" s="240">
        <v>13393</v>
      </c>
      <c r="M20" s="198">
        <f t="shared" si="4"/>
        <v>79.400000000000006</v>
      </c>
      <c r="N20" s="239">
        <v>16850</v>
      </c>
      <c r="O20" s="238">
        <v>13994</v>
      </c>
      <c r="P20" s="198">
        <f t="shared" si="5"/>
        <v>83.1</v>
      </c>
      <c r="Q20" s="237">
        <f>8875+2345</f>
        <v>11220</v>
      </c>
      <c r="R20" s="198">
        <f t="shared" si="6"/>
        <v>66.599999999999994</v>
      </c>
    </row>
    <row r="21" spans="1:18" ht="18.95" customHeight="1" x14ac:dyDescent="0.2">
      <c r="A21" s="243">
        <v>18</v>
      </c>
      <c r="B21" s="247" t="s">
        <v>63</v>
      </c>
      <c r="C21" s="239">
        <v>10797</v>
      </c>
      <c r="D21" s="246">
        <v>9373</v>
      </c>
      <c r="E21" s="198">
        <f t="shared" si="0"/>
        <v>86.8</v>
      </c>
      <c r="F21" s="241">
        <v>9383</v>
      </c>
      <c r="G21" s="198">
        <f t="shared" si="1"/>
        <v>86.9</v>
      </c>
      <c r="H21" s="241">
        <v>10576</v>
      </c>
      <c r="I21" s="198">
        <f t="shared" si="2"/>
        <v>98</v>
      </c>
      <c r="J21" s="241">
        <v>9380</v>
      </c>
      <c r="K21" s="198">
        <f t="shared" si="3"/>
        <v>86.9</v>
      </c>
      <c r="L21" s="240">
        <v>9373</v>
      </c>
      <c r="M21" s="198">
        <f t="shared" si="4"/>
        <v>86.8</v>
      </c>
      <c r="N21" s="239">
        <v>10837</v>
      </c>
      <c r="O21" s="238">
        <v>9274</v>
      </c>
      <c r="P21" s="198">
        <f t="shared" si="5"/>
        <v>85.6</v>
      </c>
      <c r="Q21" s="237">
        <f>7874+1148</f>
        <v>9022</v>
      </c>
      <c r="R21" s="198">
        <f t="shared" si="6"/>
        <v>83.3</v>
      </c>
    </row>
    <row r="22" spans="1:18" ht="18.95" customHeight="1" x14ac:dyDescent="0.2">
      <c r="A22" s="243">
        <v>85</v>
      </c>
      <c r="B22" s="242" t="s">
        <v>21</v>
      </c>
      <c r="C22" s="239">
        <v>6996</v>
      </c>
      <c r="D22" s="246">
        <v>6798</v>
      </c>
      <c r="E22" s="198">
        <f t="shared" si="0"/>
        <v>97.2</v>
      </c>
      <c r="F22" s="241">
        <v>6798</v>
      </c>
      <c r="G22" s="198">
        <f t="shared" si="1"/>
        <v>97.2</v>
      </c>
      <c r="H22" s="241">
        <v>6353</v>
      </c>
      <c r="I22" s="198">
        <f t="shared" si="2"/>
        <v>90.8</v>
      </c>
      <c r="J22" s="241">
        <v>6803</v>
      </c>
      <c r="K22" s="198">
        <f t="shared" si="3"/>
        <v>97.2</v>
      </c>
      <c r="L22" s="240">
        <v>6798</v>
      </c>
      <c r="M22" s="198">
        <f t="shared" si="4"/>
        <v>97.2</v>
      </c>
      <c r="N22" s="239">
        <v>7008</v>
      </c>
      <c r="O22" s="238">
        <v>6774</v>
      </c>
      <c r="P22" s="198">
        <f t="shared" si="5"/>
        <v>96.7</v>
      </c>
      <c r="Q22" s="237">
        <v>6718</v>
      </c>
      <c r="R22" s="198">
        <f t="shared" si="6"/>
        <v>95.9</v>
      </c>
    </row>
    <row r="23" spans="1:18" ht="18.95" customHeight="1" x14ac:dyDescent="0.2">
      <c r="A23" s="243">
        <v>19</v>
      </c>
      <c r="B23" s="247" t="s">
        <v>18</v>
      </c>
      <c r="C23" s="239">
        <v>25956</v>
      </c>
      <c r="D23" s="246">
        <v>22372</v>
      </c>
      <c r="E23" s="198">
        <f t="shared" si="0"/>
        <v>86.2</v>
      </c>
      <c r="F23" s="241">
        <v>22326</v>
      </c>
      <c r="G23" s="198">
        <f t="shared" si="1"/>
        <v>86</v>
      </c>
      <c r="H23" s="241">
        <v>21877</v>
      </c>
      <c r="I23" s="198">
        <f t="shared" si="2"/>
        <v>84.3</v>
      </c>
      <c r="J23" s="241">
        <v>22324</v>
      </c>
      <c r="K23" s="198">
        <f t="shared" si="3"/>
        <v>86</v>
      </c>
      <c r="L23" s="240">
        <v>22320</v>
      </c>
      <c r="M23" s="198">
        <f t="shared" si="4"/>
        <v>86</v>
      </c>
      <c r="N23" s="239">
        <v>26060</v>
      </c>
      <c r="O23" s="238">
        <v>23844</v>
      </c>
      <c r="P23" s="198">
        <f t="shared" si="5"/>
        <v>91.5</v>
      </c>
      <c r="Q23" s="237">
        <f>11283+5887</f>
        <v>17170</v>
      </c>
      <c r="R23" s="198">
        <f t="shared" si="6"/>
        <v>65.900000000000006</v>
      </c>
    </row>
    <row r="24" spans="1:18" ht="18.95" customHeight="1" x14ac:dyDescent="0.2">
      <c r="A24" s="243">
        <v>20</v>
      </c>
      <c r="B24" s="247" t="s">
        <v>22</v>
      </c>
      <c r="C24" s="239">
        <v>22278</v>
      </c>
      <c r="D24" s="246">
        <v>23276</v>
      </c>
      <c r="E24" s="198">
        <f t="shared" si="0"/>
        <v>104.5</v>
      </c>
      <c r="F24" s="241">
        <v>23276</v>
      </c>
      <c r="G24" s="198">
        <f t="shared" si="1"/>
        <v>104.5</v>
      </c>
      <c r="H24" s="241">
        <v>25677</v>
      </c>
      <c r="I24" s="198">
        <f t="shared" si="2"/>
        <v>115.3</v>
      </c>
      <c r="J24" s="241">
        <v>23199</v>
      </c>
      <c r="K24" s="198">
        <f t="shared" si="3"/>
        <v>104.1</v>
      </c>
      <c r="L24" s="240">
        <v>23276</v>
      </c>
      <c r="M24" s="198">
        <f t="shared" si="4"/>
        <v>104.5</v>
      </c>
      <c r="N24" s="239">
        <v>22306</v>
      </c>
      <c r="O24" s="238">
        <v>23258</v>
      </c>
      <c r="P24" s="198">
        <f t="shared" si="5"/>
        <v>104.3</v>
      </c>
      <c r="Q24" s="237">
        <f>13647+3437</f>
        <v>17084</v>
      </c>
      <c r="R24" s="198">
        <f t="shared" si="6"/>
        <v>76.599999999999994</v>
      </c>
    </row>
    <row r="25" spans="1:18" ht="18.95" customHeight="1" x14ac:dyDescent="0.2">
      <c r="A25" s="243">
        <v>27</v>
      </c>
      <c r="B25" s="247" t="s">
        <v>24</v>
      </c>
      <c r="C25" s="239">
        <v>13617</v>
      </c>
      <c r="D25" s="238">
        <v>10690</v>
      </c>
      <c r="E25" s="198">
        <f t="shared" si="0"/>
        <v>78.5</v>
      </c>
      <c r="F25" s="241">
        <v>10688</v>
      </c>
      <c r="G25" s="198">
        <f t="shared" si="1"/>
        <v>78.5</v>
      </c>
      <c r="H25" s="241">
        <v>11709</v>
      </c>
      <c r="I25" s="198">
        <f t="shared" si="2"/>
        <v>86</v>
      </c>
      <c r="J25" s="241">
        <v>10688</v>
      </c>
      <c r="K25" s="198">
        <f t="shared" si="3"/>
        <v>78.5</v>
      </c>
      <c r="L25" s="240">
        <v>10688</v>
      </c>
      <c r="M25" s="198">
        <f t="shared" si="4"/>
        <v>78.5</v>
      </c>
      <c r="N25" s="239">
        <v>13465</v>
      </c>
      <c r="O25" s="238">
        <v>11459</v>
      </c>
      <c r="P25" s="198">
        <f t="shared" si="5"/>
        <v>85.1</v>
      </c>
      <c r="Q25" s="237">
        <v>10410</v>
      </c>
      <c r="R25" s="198">
        <f t="shared" si="6"/>
        <v>77.3</v>
      </c>
    </row>
    <row r="26" spans="1:18" ht="18.95" customHeight="1" x14ac:dyDescent="0.2">
      <c r="A26" s="243">
        <v>23</v>
      </c>
      <c r="B26" s="247" t="s">
        <v>64</v>
      </c>
      <c r="C26" s="239">
        <v>35688</v>
      </c>
      <c r="D26" s="246">
        <v>36384</v>
      </c>
      <c r="E26" s="198">
        <f t="shared" si="0"/>
        <v>102</v>
      </c>
      <c r="F26" s="241">
        <v>36969</v>
      </c>
      <c r="G26" s="198">
        <f t="shared" si="1"/>
        <v>103.6</v>
      </c>
      <c r="H26" s="241">
        <v>36033</v>
      </c>
      <c r="I26" s="198">
        <f t="shared" si="2"/>
        <v>101</v>
      </c>
      <c r="J26" s="241">
        <v>36604</v>
      </c>
      <c r="K26" s="198">
        <f t="shared" si="3"/>
        <v>102.6</v>
      </c>
      <c r="L26" s="240">
        <v>36109</v>
      </c>
      <c r="M26" s="198">
        <f t="shared" si="4"/>
        <v>101.2</v>
      </c>
      <c r="N26" s="239">
        <v>35437</v>
      </c>
      <c r="O26" s="238">
        <v>34638</v>
      </c>
      <c r="P26" s="198">
        <f t="shared" si="5"/>
        <v>97.7</v>
      </c>
      <c r="Q26" s="237">
        <f>22463+104</f>
        <v>22567</v>
      </c>
      <c r="R26" s="198">
        <f t="shared" si="6"/>
        <v>63.7</v>
      </c>
    </row>
    <row r="27" spans="1:18" ht="18.95" customHeight="1" x14ac:dyDescent="0.2">
      <c r="A27" s="243">
        <v>25</v>
      </c>
      <c r="B27" s="247" t="s">
        <v>122</v>
      </c>
      <c r="C27" s="239">
        <v>45836</v>
      </c>
      <c r="D27" s="246">
        <v>36176</v>
      </c>
      <c r="E27" s="198">
        <f t="shared" si="0"/>
        <v>78.900000000000006</v>
      </c>
      <c r="F27" s="241">
        <v>36156</v>
      </c>
      <c r="G27" s="198">
        <f t="shared" si="1"/>
        <v>78.900000000000006</v>
      </c>
      <c r="H27" s="241">
        <v>28960</v>
      </c>
      <c r="I27" s="198">
        <f t="shared" si="2"/>
        <v>63.2</v>
      </c>
      <c r="J27" s="241">
        <v>36164</v>
      </c>
      <c r="K27" s="198">
        <f t="shared" si="3"/>
        <v>78.900000000000006</v>
      </c>
      <c r="L27" s="241">
        <v>36156</v>
      </c>
      <c r="M27" s="198">
        <f t="shared" si="4"/>
        <v>78.900000000000006</v>
      </c>
      <c r="N27" s="239">
        <v>45728</v>
      </c>
      <c r="O27" s="238">
        <v>37733</v>
      </c>
      <c r="P27" s="198">
        <f t="shared" si="5"/>
        <v>82.5</v>
      </c>
      <c r="Q27" s="237">
        <v>33157</v>
      </c>
      <c r="R27" s="198">
        <f t="shared" si="6"/>
        <v>72.5</v>
      </c>
    </row>
    <row r="28" spans="1:18" ht="18.95" customHeight="1" x14ac:dyDescent="0.2">
      <c r="A28" s="243">
        <v>94</v>
      </c>
      <c r="B28" s="247" t="s">
        <v>65</v>
      </c>
      <c r="C28" s="239">
        <v>1037</v>
      </c>
      <c r="D28" s="246">
        <v>402</v>
      </c>
      <c r="E28" s="198">
        <f t="shared" si="0"/>
        <v>38.799999999999997</v>
      </c>
      <c r="F28" s="241">
        <v>411</v>
      </c>
      <c r="G28" s="198">
        <f t="shared" si="1"/>
        <v>39.6</v>
      </c>
      <c r="H28" s="241">
        <v>672</v>
      </c>
      <c r="I28" s="198">
        <f t="shared" si="2"/>
        <v>64.8</v>
      </c>
      <c r="J28" s="241">
        <v>416</v>
      </c>
      <c r="K28" s="198">
        <f t="shared" si="3"/>
        <v>40.1</v>
      </c>
      <c r="L28" s="240">
        <v>411</v>
      </c>
      <c r="M28" s="198">
        <f t="shared" si="4"/>
        <v>39.6</v>
      </c>
      <c r="N28" s="239">
        <v>1028</v>
      </c>
      <c r="O28" s="238">
        <v>589</v>
      </c>
      <c r="P28" s="198">
        <f t="shared" si="5"/>
        <v>57.3</v>
      </c>
      <c r="Q28" s="237">
        <f>385+87</f>
        <v>472</v>
      </c>
      <c r="R28" s="198">
        <f t="shared" si="6"/>
        <v>45.9</v>
      </c>
    </row>
    <row r="29" spans="1:18" ht="18.95" customHeight="1" x14ac:dyDescent="0.2">
      <c r="A29" s="243">
        <v>95</v>
      </c>
      <c r="B29" s="242" t="s">
        <v>26</v>
      </c>
      <c r="C29" s="239">
        <v>2699</v>
      </c>
      <c r="D29" s="246">
        <v>2164</v>
      </c>
      <c r="E29" s="198">
        <f t="shared" si="0"/>
        <v>80.2</v>
      </c>
      <c r="F29" s="241">
        <v>2164</v>
      </c>
      <c r="G29" s="198">
        <f t="shared" si="1"/>
        <v>80.2</v>
      </c>
      <c r="H29" s="241">
        <v>1939</v>
      </c>
      <c r="I29" s="198">
        <f t="shared" si="2"/>
        <v>71.8</v>
      </c>
      <c r="J29" s="241">
        <v>2164</v>
      </c>
      <c r="K29" s="198">
        <f t="shared" si="3"/>
        <v>80.2</v>
      </c>
      <c r="L29" s="240">
        <v>2164</v>
      </c>
      <c r="M29" s="198">
        <f t="shared" si="4"/>
        <v>80.2</v>
      </c>
      <c r="N29" s="239">
        <v>2676</v>
      </c>
      <c r="O29" s="238">
        <v>2105</v>
      </c>
      <c r="P29" s="198">
        <f t="shared" si="5"/>
        <v>78.7</v>
      </c>
      <c r="Q29" s="237">
        <f>1582+520</f>
        <v>2102</v>
      </c>
      <c r="R29" s="198">
        <f t="shared" si="6"/>
        <v>78.599999999999994</v>
      </c>
    </row>
    <row r="30" spans="1:18" ht="18.95" customHeight="1" x14ac:dyDescent="0.2">
      <c r="A30" s="243">
        <v>41</v>
      </c>
      <c r="B30" s="242" t="s">
        <v>27</v>
      </c>
      <c r="C30" s="239">
        <v>22511</v>
      </c>
      <c r="D30" s="246">
        <v>22297</v>
      </c>
      <c r="E30" s="198">
        <f t="shared" si="0"/>
        <v>99</v>
      </c>
      <c r="F30" s="241">
        <v>22365</v>
      </c>
      <c r="G30" s="198">
        <f t="shared" si="1"/>
        <v>99.4</v>
      </c>
      <c r="H30" s="241">
        <v>21163</v>
      </c>
      <c r="I30" s="198">
        <f t="shared" si="2"/>
        <v>94</v>
      </c>
      <c r="J30" s="241">
        <v>22369</v>
      </c>
      <c r="K30" s="198">
        <f t="shared" si="3"/>
        <v>99.4</v>
      </c>
      <c r="L30" s="240">
        <v>22365</v>
      </c>
      <c r="M30" s="198">
        <f t="shared" si="4"/>
        <v>99.4</v>
      </c>
      <c r="N30" s="239">
        <v>22475</v>
      </c>
      <c r="O30" s="238">
        <v>22480</v>
      </c>
      <c r="P30" s="198">
        <f t="shared" si="5"/>
        <v>100</v>
      </c>
      <c r="Q30" s="237">
        <v>22224</v>
      </c>
      <c r="R30" s="198">
        <f t="shared" si="6"/>
        <v>98.9</v>
      </c>
    </row>
    <row r="31" spans="1:18" ht="18.95" customHeight="1" x14ac:dyDescent="0.2">
      <c r="A31" s="243">
        <v>44</v>
      </c>
      <c r="B31" s="242" t="s">
        <v>124</v>
      </c>
      <c r="C31" s="239">
        <v>22869</v>
      </c>
      <c r="D31" s="238">
        <v>20978</v>
      </c>
      <c r="E31" s="198">
        <f t="shared" si="0"/>
        <v>91.7</v>
      </c>
      <c r="F31" s="241">
        <v>22471</v>
      </c>
      <c r="G31" s="198">
        <f t="shared" si="1"/>
        <v>98.3</v>
      </c>
      <c r="H31" s="241">
        <v>16821</v>
      </c>
      <c r="I31" s="198">
        <f t="shared" si="2"/>
        <v>73.599999999999994</v>
      </c>
      <c r="J31" s="241">
        <v>22287</v>
      </c>
      <c r="K31" s="198">
        <f t="shared" si="3"/>
        <v>97.5</v>
      </c>
      <c r="L31" s="240">
        <v>22471</v>
      </c>
      <c r="M31" s="198">
        <f t="shared" si="4"/>
        <v>98.3</v>
      </c>
      <c r="N31" s="239">
        <v>22257</v>
      </c>
      <c r="O31" s="238">
        <v>19109</v>
      </c>
      <c r="P31" s="198">
        <f t="shared" si="5"/>
        <v>85.9</v>
      </c>
      <c r="Q31" s="237">
        <f>14581+4455</f>
        <v>19036</v>
      </c>
      <c r="R31" s="198">
        <f t="shared" si="6"/>
        <v>85.5</v>
      </c>
    </row>
    <row r="32" spans="1:18" ht="18.95" customHeight="1" x14ac:dyDescent="0.2">
      <c r="A32" s="243">
        <v>47</v>
      </c>
      <c r="B32" s="242" t="s">
        <v>28</v>
      </c>
      <c r="C32" s="239">
        <v>18573</v>
      </c>
      <c r="D32" s="238">
        <v>18078</v>
      </c>
      <c r="E32" s="198">
        <f t="shared" si="0"/>
        <v>97.3</v>
      </c>
      <c r="F32" s="241">
        <v>18026</v>
      </c>
      <c r="G32" s="198">
        <f t="shared" si="1"/>
        <v>97.1</v>
      </c>
      <c r="H32" s="241">
        <v>18289</v>
      </c>
      <c r="I32" s="198">
        <f t="shared" si="2"/>
        <v>98.5</v>
      </c>
      <c r="J32" s="241">
        <v>18058</v>
      </c>
      <c r="K32" s="198">
        <f t="shared" si="3"/>
        <v>97.2</v>
      </c>
      <c r="L32" s="240">
        <v>18026</v>
      </c>
      <c r="M32" s="198">
        <f t="shared" si="4"/>
        <v>97.1</v>
      </c>
      <c r="N32" s="239">
        <v>18644</v>
      </c>
      <c r="O32" s="238">
        <v>18465</v>
      </c>
      <c r="P32" s="198">
        <f t="shared" si="5"/>
        <v>99</v>
      </c>
      <c r="Q32" s="237">
        <f>10972+2911</f>
        <v>13883</v>
      </c>
      <c r="R32" s="198">
        <f t="shared" si="6"/>
        <v>74.5</v>
      </c>
    </row>
    <row r="33" spans="1:18" ht="18.95" customHeight="1" x14ac:dyDescent="0.2">
      <c r="A33" s="243">
        <v>48</v>
      </c>
      <c r="B33" s="215" t="s">
        <v>127</v>
      </c>
      <c r="C33" s="239">
        <v>9220</v>
      </c>
      <c r="D33" s="246">
        <v>8950</v>
      </c>
      <c r="E33" s="198">
        <f t="shared" si="0"/>
        <v>97.1</v>
      </c>
      <c r="F33" s="241">
        <v>8955</v>
      </c>
      <c r="G33" s="198">
        <f t="shared" si="1"/>
        <v>97.1</v>
      </c>
      <c r="H33" s="241">
        <v>9893</v>
      </c>
      <c r="I33" s="198">
        <f t="shared" si="2"/>
        <v>107.3</v>
      </c>
      <c r="J33" s="241">
        <v>8955</v>
      </c>
      <c r="K33" s="198">
        <f t="shared" si="3"/>
        <v>97.1</v>
      </c>
      <c r="L33" s="240">
        <v>8955</v>
      </c>
      <c r="M33" s="198">
        <f t="shared" si="4"/>
        <v>97.1</v>
      </c>
      <c r="N33" s="239">
        <v>9396</v>
      </c>
      <c r="O33" s="238">
        <v>9342</v>
      </c>
      <c r="P33" s="198">
        <f t="shared" si="5"/>
        <v>99.4</v>
      </c>
      <c r="Q33" s="237">
        <f>5872+1272</f>
        <v>7144</v>
      </c>
      <c r="R33" s="198">
        <f t="shared" si="6"/>
        <v>76</v>
      </c>
    </row>
    <row r="34" spans="1:18" ht="18.95" customHeight="1" x14ac:dyDescent="0.2">
      <c r="A34" s="243">
        <v>50</v>
      </c>
      <c r="B34" s="247" t="s">
        <v>29</v>
      </c>
      <c r="C34" s="239">
        <v>17779</v>
      </c>
      <c r="D34" s="238">
        <f>16984+14</f>
        <v>16998</v>
      </c>
      <c r="E34" s="198">
        <f t="shared" si="0"/>
        <v>95.6</v>
      </c>
      <c r="F34" s="241">
        <v>16986</v>
      </c>
      <c r="G34" s="198">
        <f t="shared" si="1"/>
        <v>95.5</v>
      </c>
      <c r="H34" s="241">
        <v>17091</v>
      </c>
      <c r="I34" s="198">
        <f t="shared" si="2"/>
        <v>96.1</v>
      </c>
      <c r="J34" s="241">
        <v>17012</v>
      </c>
      <c r="K34" s="198">
        <f t="shared" si="3"/>
        <v>95.7</v>
      </c>
      <c r="L34" s="240">
        <v>16986</v>
      </c>
      <c r="M34" s="198">
        <f t="shared" si="4"/>
        <v>95.5</v>
      </c>
      <c r="N34" s="239">
        <v>17732</v>
      </c>
      <c r="O34" s="238">
        <v>16912</v>
      </c>
      <c r="P34" s="198">
        <f t="shared" si="5"/>
        <v>95.4</v>
      </c>
      <c r="Q34" s="237">
        <v>16889</v>
      </c>
      <c r="R34" s="198">
        <f t="shared" si="6"/>
        <v>95.2</v>
      </c>
    </row>
    <row r="35" spans="1:18" ht="18.95" customHeight="1" x14ac:dyDescent="0.2">
      <c r="A35" s="243">
        <v>52</v>
      </c>
      <c r="B35" s="242" t="s">
        <v>30</v>
      </c>
      <c r="C35" s="239">
        <v>32794</v>
      </c>
      <c r="D35" s="238">
        <v>23669</v>
      </c>
      <c r="E35" s="198">
        <f t="shared" si="0"/>
        <v>72.2</v>
      </c>
      <c r="F35" s="241">
        <v>23680</v>
      </c>
      <c r="G35" s="198">
        <f t="shared" si="1"/>
        <v>72.2</v>
      </c>
      <c r="H35" s="241">
        <v>24390</v>
      </c>
      <c r="I35" s="198">
        <f t="shared" si="2"/>
        <v>74.400000000000006</v>
      </c>
      <c r="J35" s="241">
        <v>23703</v>
      </c>
      <c r="K35" s="198">
        <f t="shared" si="3"/>
        <v>72.3</v>
      </c>
      <c r="L35" s="240">
        <v>23714</v>
      </c>
      <c r="M35" s="198">
        <f t="shared" si="4"/>
        <v>72.3</v>
      </c>
      <c r="N35" s="239">
        <v>32935</v>
      </c>
      <c r="O35" s="238">
        <v>25094</v>
      </c>
      <c r="P35" s="198">
        <f t="shared" si="5"/>
        <v>76.2</v>
      </c>
      <c r="Q35" s="237">
        <v>23703</v>
      </c>
      <c r="R35" s="198">
        <f t="shared" si="6"/>
        <v>72</v>
      </c>
    </row>
    <row r="36" spans="1:18" ht="18.95" customHeight="1" x14ac:dyDescent="0.2">
      <c r="A36" s="243">
        <v>54</v>
      </c>
      <c r="B36" s="212" t="s">
        <v>125</v>
      </c>
      <c r="C36" s="239">
        <v>25601</v>
      </c>
      <c r="D36" s="238">
        <v>25384</v>
      </c>
      <c r="E36" s="198">
        <f t="shared" si="0"/>
        <v>99.2</v>
      </c>
      <c r="F36" s="241">
        <v>25390</v>
      </c>
      <c r="G36" s="198">
        <f t="shared" si="1"/>
        <v>99.2</v>
      </c>
      <c r="H36" s="241">
        <f>3008+22916</f>
        <v>25924</v>
      </c>
      <c r="I36" s="198">
        <f t="shared" si="2"/>
        <v>101.3</v>
      </c>
      <c r="J36" s="241">
        <v>25390</v>
      </c>
      <c r="K36" s="198">
        <f t="shared" si="3"/>
        <v>99.2</v>
      </c>
      <c r="L36" s="240">
        <v>25389</v>
      </c>
      <c r="M36" s="198">
        <f t="shared" si="4"/>
        <v>99.2</v>
      </c>
      <c r="N36" s="239">
        <v>25553</v>
      </c>
      <c r="O36" s="238">
        <v>24434</v>
      </c>
      <c r="P36" s="198">
        <f t="shared" si="5"/>
        <v>95.6</v>
      </c>
      <c r="Q36" s="237">
        <f>19282+4970</f>
        <v>24252</v>
      </c>
      <c r="R36" s="198">
        <f t="shared" si="6"/>
        <v>94.9</v>
      </c>
    </row>
    <row r="37" spans="1:18" ht="18.95" customHeight="1" x14ac:dyDescent="0.2">
      <c r="A37" s="243">
        <v>85</v>
      </c>
      <c r="B37" s="242" t="s">
        <v>31</v>
      </c>
      <c r="C37" s="239">
        <v>8042</v>
      </c>
      <c r="D37" s="246">
        <v>7379</v>
      </c>
      <c r="E37" s="198">
        <f t="shared" si="0"/>
        <v>91.8</v>
      </c>
      <c r="F37" s="241">
        <v>7379</v>
      </c>
      <c r="G37" s="198">
        <f t="shared" si="1"/>
        <v>91.8</v>
      </c>
      <c r="H37" s="241">
        <v>6171</v>
      </c>
      <c r="I37" s="198">
        <f t="shared" si="2"/>
        <v>76.7</v>
      </c>
      <c r="J37" s="241">
        <v>7379</v>
      </c>
      <c r="K37" s="198">
        <f t="shared" si="3"/>
        <v>91.8</v>
      </c>
      <c r="L37" s="240">
        <v>7379</v>
      </c>
      <c r="M37" s="198">
        <f t="shared" si="4"/>
        <v>91.8</v>
      </c>
      <c r="N37" s="239">
        <v>8004</v>
      </c>
      <c r="O37" s="238">
        <v>7366</v>
      </c>
      <c r="P37" s="198">
        <f t="shared" si="5"/>
        <v>92</v>
      </c>
      <c r="Q37" s="237">
        <v>7388</v>
      </c>
      <c r="R37" s="198">
        <f t="shared" si="6"/>
        <v>92.3</v>
      </c>
    </row>
    <row r="38" spans="1:18" ht="18.95" customHeight="1" x14ac:dyDescent="0.2">
      <c r="A38" s="243">
        <v>63</v>
      </c>
      <c r="B38" s="247" t="s">
        <v>104</v>
      </c>
      <c r="C38" s="239">
        <v>9274</v>
      </c>
      <c r="D38" s="238">
        <v>8021</v>
      </c>
      <c r="E38" s="198">
        <f t="shared" si="0"/>
        <v>86.5</v>
      </c>
      <c r="F38" s="241">
        <v>8021</v>
      </c>
      <c r="G38" s="198">
        <f t="shared" si="1"/>
        <v>86.5</v>
      </c>
      <c r="H38" s="241">
        <v>6733</v>
      </c>
      <c r="I38" s="198">
        <f t="shared" si="2"/>
        <v>72.599999999999994</v>
      </c>
      <c r="J38" s="241">
        <v>8021</v>
      </c>
      <c r="K38" s="198">
        <f t="shared" si="3"/>
        <v>86.5</v>
      </c>
      <c r="L38" s="240">
        <v>8021</v>
      </c>
      <c r="M38" s="198">
        <f t="shared" si="4"/>
        <v>86.5</v>
      </c>
      <c r="N38" s="239">
        <v>9247</v>
      </c>
      <c r="O38" s="238">
        <v>8381</v>
      </c>
      <c r="P38" s="198">
        <f t="shared" si="5"/>
        <v>90.6</v>
      </c>
      <c r="Q38" s="237">
        <f>4872+1974</f>
        <v>6846</v>
      </c>
      <c r="R38" s="198">
        <f t="shared" si="6"/>
        <v>74</v>
      </c>
    </row>
    <row r="39" spans="1:18" ht="18.95" customHeight="1" x14ac:dyDescent="0.2">
      <c r="A39" s="243">
        <v>66</v>
      </c>
      <c r="B39" s="247" t="s">
        <v>33</v>
      </c>
      <c r="C39" s="239">
        <v>15478</v>
      </c>
      <c r="D39" s="238">
        <v>13485</v>
      </c>
      <c r="E39" s="198">
        <f t="shared" si="0"/>
        <v>87.1</v>
      </c>
      <c r="F39" s="241">
        <v>13394</v>
      </c>
      <c r="G39" s="198">
        <f t="shared" si="1"/>
        <v>86.5</v>
      </c>
      <c r="H39" s="241">
        <v>13895</v>
      </c>
      <c r="I39" s="198">
        <f t="shared" si="2"/>
        <v>89.8</v>
      </c>
      <c r="J39" s="241">
        <v>13413</v>
      </c>
      <c r="K39" s="198">
        <f t="shared" si="3"/>
        <v>86.7</v>
      </c>
      <c r="L39" s="240">
        <v>13394</v>
      </c>
      <c r="M39" s="198">
        <f t="shared" si="4"/>
        <v>86.5</v>
      </c>
      <c r="N39" s="239">
        <v>15423</v>
      </c>
      <c r="O39" s="238">
        <v>13346</v>
      </c>
      <c r="P39" s="198">
        <f t="shared" si="5"/>
        <v>86.5</v>
      </c>
      <c r="Q39" s="237">
        <v>13112</v>
      </c>
      <c r="R39" s="198">
        <f t="shared" si="6"/>
        <v>85</v>
      </c>
    </row>
    <row r="40" spans="1:18" ht="18.95" customHeight="1" x14ac:dyDescent="0.2">
      <c r="A40" s="243">
        <v>88</v>
      </c>
      <c r="B40" s="247" t="s">
        <v>34</v>
      </c>
      <c r="C40" s="239">
        <v>1275</v>
      </c>
      <c r="D40" s="246">
        <v>846</v>
      </c>
      <c r="E40" s="198">
        <f t="shared" si="0"/>
        <v>66.400000000000006</v>
      </c>
      <c r="F40" s="241">
        <v>842</v>
      </c>
      <c r="G40" s="198">
        <f t="shared" si="1"/>
        <v>66</v>
      </c>
      <c r="H40" s="241">
        <v>829</v>
      </c>
      <c r="I40" s="198">
        <f t="shared" si="2"/>
        <v>65</v>
      </c>
      <c r="J40" s="241">
        <v>846</v>
      </c>
      <c r="K40" s="198">
        <f t="shared" si="3"/>
        <v>66.400000000000006</v>
      </c>
      <c r="L40" s="240">
        <v>842</v>
      </c>
      <c r="M40" s="198">
        <f t="shared" si="4"/>
        <v>66</v>
      </c>
      <c r="N40" s="239">
        <v>1280</v>
      </c>
      <c r="O40" s="238">
        <f>850+62</f>
        <v>912</v>
      </c>
      <c r="P40" s="198">
        <f t="shared" si="5"/>
        <v>71.3</v>
      </c>
      <c r="Q40" s="237">
        <f>668+104</f>
        <v>772</v>
      </c>
      <c r="R40" s="198">
        <f t="shared" si="6"/>
        <v>60.3</v>
      </c>
    </row>
    <row r="41" spans="1:18" ht="18.95" customHeight="1" thickBot="1" x14ac:dyDescent="0.25">
      <c r="A41" s="243">
        <v>68</v>
      </c>
      <c r="B41" s="247" t="s">
        <v>35</v>
      </c>
      <c r="C41" s="239">
        <v>34396</v>
      </c>
      <c r="D41" s="238">
        <v>33594</v>
      </c>
      <c r="E41" s="198">
        <f t="shared" si="0"/>
        <v>97.7</v>
      </c>
      <c r="F41" s="241">
        <v>33589</v>
      </c>
      <c r="G41" s="198">
        <f t="shared" si="1"/>
        <v>97.7</v>
      </c>
      <c r="H41" s="241">
        <v>30409</v>
      </c>
      <c r="I41" s="198">
        <f t="shared" si="2"/>
        <v>88.4</v>
      </c>
      <c r="J41" s="241">
        <v>33601</v>
      </c>
      <c r="K41" s="198">
        <f t="shared" si="3"/>
        <v>97.7</v>
      </c>
      <c r="L41" s="240">
        <v>33589</v>
      </c>
      <c r="M41" s="198">
        <f t="shared" si="4"/>
        <v>97.7</v>
      </c>
      <c r="N41" s="239">
        <v>34258</v>
      </c>
      <c r="O41" s="238">
        <v>32164</v>
      </c>
      <c r="P41" s="198">
        <f t="shared" si="5"/>
        <v>93.9</v>
      </c>
      <c r="Q41" s="237">
        <v>31065</v>
      </c>
      <c r="R41" s="198">
        <f t="shared" si="6"/>
        <v>90.7</v>
      </c>
    </row>
    <row r="42" spans="1:18" ht="18.95" customHeight="1" x14ac:dyDescent="0.2">
      <c r="A42" s="243">
        <v>70</v>
      </c>
      <c r="B42" s="247" t="s">
        <v>36</v>
      </c>
      <c r="C42" s="239">
        <v>16920</v>
      </c>
      <c r="D42" s="251">
        <v>17394</v>
      </c>
      <c r="E42" s="198">
        <f t="shared" si="0"/>
        <v>102.8</v>
      </c>
      <c r="F42" s="250">
        <v>17394</v>
      </c>
      <c r="G42" s="198">
        <f t="shared" si="1"/>
        <v>102.8</v>
      </c>
      <c r="H42" s="249">
        <v>19607</v>
      </c>
      <c r="I42" s="198">
        <f t="shared" si="2"/>
        <v>115.9</v>
      </c>
      <c r="J42" s="233">
        <v>17394</v>
      </c>
      <c r="K42" s="198">
        <f t="shared" si="3"/>
        <v>102.8</v>
      </c>
      <c r="L42" s="233">
        <v>17394</v>
      </c>
      <c r="M42" s="198">
        <f t="shared" si="4"/>
        <v>102.8</v>
      </c>
      <c r="N42" s="239">
        <v>16872</v>
      </c>
      <c r="O42" s="248">
        <v>17515</v>
      </c>
      <c r="P42" s="198">
        <f t="shared" si="5"/>
        <v>103.8</v>
      </c>
      <c r="Q42" s="237">
        <f>12107+1822</f>
        <v>13929</v>
      </c>
      <c r="R42" s="198">
        <f t="shared" si="6"/>
        <v>82.6</v>
      </c>
    </row>
    <row r="43" spans="1:18" ht="18.95" customHeight="1" x14ac:dyDescent="0.2">
      <c r="A43" s="243">
        <v>73</v>
      </c>
      <c r="B43" s="247" t="s">
        <v>37</v>
      </c>
      <c r="C43" s="239">
        <v>26143</v>
      </c>
      <c r="D43" s="246">
        <v>24416</v>
      </c>
      <c r="E43" s="198">
        <f t="shared" si="0"/>
        <v>93.4</v>
      </c>
      <c r="F43" s="241">
        <v>24387</v>
      </c>
      <c r="G43" s="198">
        <f t="shared" si="1"/>
        <v>93.3</v>
      </c>
      <c r="H43" s="241">
        <v>26989</v>
      </c>
      <c r="I43" s="198">
        <f t="shared" si="2"/>
        <v>103.2</v>
      </c>
      <c r="J43" s="245">
        <v>24387</v>
      </c>
      <c r="K43" s="198">
        <f t="shared" si="3"/>
        <v>93.3</v>
      </c>
      <c r="L43" s="244">
        <v>24387</v>
      </c>
      <c r="M43" s="198">
        <f t="shared" si="4"/>
        <v>93.3</v>
      </c>
      <c r="N43" s="239">
        <v>26413</v>
      </c>
      <c r="O43" s="238">
        <v>24752</v>
      </c>
      <c r="P43" s="198">
        <f t="shared" si="5"/>
        <v>93.7</v>
      </c>
      <c r="Q43" s="237">
        <v>24435</v>
      </c>
      <c r="R43" s="198">
        <f t="shared" si="6"/>
        <v>92.5</v>
      </c>
    </row>
    <row r="44" spans="1:18" ht="18.95" customHeight="1" x14ac:dyDescent="0.2">
      <c r="A44" s="243">
        <v>76</v>
      </c>
      <c r="B44" s="242" t="s">
        <v>38</v>
      </c>
      <c r="C44" s="239">
        <v>72782</v>
      </c>
      <c r="D44" s="238">
        <v>72000</v>
      </c>
      <c r="E44" s="198">
        <f t="shared" si="0"/>
        <v>98.9</v>
      </c>
      <c r="F44" s="241">
        <v>71725</v>
      </c>
      <c r="G44" s="198">
        <f t="shared" si="1"/>
        <v>98.5</v>
      </c>
      <c r="H44" s="241">
        <v>71805</v>
      </c>
      <c r="I44" s="198">
        <f t="shared" si="2"/>
        <v>98.7</v>
      </c>
      <c r="J44" s="241">
        <v>72245</v>
      </c>
      <c r="K44" s="198">
        <f t="shared" si="3"/>
        <v>99.3</v>
      </c>
      <c r="L44" s="240">
        <v>71725</v>
      </c>
      <c r="M44" s="198">
        <f t="shared" si="4"/>
        <v>98.5</v>
      </c>
      <c r="N44" s="239">
        <v>72199</v>
      </c>
      <c r="O44" s="238">
        <v>66461</v>
      </c>
      <c r="P44" s="198">
        <f t="shared" si="5"/>
        <v>92.1</v>
      </c>
      <c r="Q44" s="237">
        <v>65931</v>
      </c>
      <c r="R44" s="198">
        <f t="shared" si="6"/>
        <v>91.3</v>
      </c>
    </row>
    <row r="45" spans="1:18" ht="18.95" customHeight="1" thickBot="1" x14ac:dyDescent="0.25">
      <c r="A45" s="243">
        <v>97</v>
      </c>
      <c r="B45" s="242" t="s">
        <v>39</v>
      </c>
      <c r="C45" s="239">
        <v>1380</v>
      </c>
      <c r="D45" s="238">
        <v>786</v>
      </c>
      <c r="E45" s="198">
        <f t="shared" si="0"/>
        <v>57</v>
      </c>
      <c r="F45" s="241">
        <v>656</v>
      </c>
      <c r="G45" s="198">
        <f t="shared" si="1"/>
        <v>47.5</v>
      </c>
      <c r="H45" s="241">
        <v>1161</v>
      </c>
      <c r="I45" s="198">
        <f t="shared" si="2"/>
        <v>84.1</v>
      </c>
      <c r="J45" s="241">
        <v>749</v>
      </c>
      <c r="K45" s="198">
        <f t="shared" si="3"/>
        <v>54.3</v>
      </c>
      <c r="L45" s="240">
        <v>656</v>
      </c>
      <c r="M45" s="198">
        <f t="shared" si="4"/>
        <v>47.5</v>
      </c>
      <c r="N45" s="239">
        <v>1348</v>
      </c>
      <c r="O45" s="238">
        <v>805</v>
      </c>
      <c r="P45" s="198">
        <f t="shared" si="5"/>
        <v>59.7</v>
      </c>
      <c r="Q45" s="237">
        <f>417+313</f>
        <v>730</v>
      </c>
      <c r="R45" s="198">
        <f t="shared" si="6"/>
        <v>54.2</v>
      </c>
    </row>
    <row r="46" spans="1:18" ht="18.95" customHeight="1" thickBot="1" x14ac:dyDescent="0.25">
      <c r="A46" s="236">
        <v>99</v>
      </c>
      <c r="B46" s="235" t="s">
        <v>40</v>
      </c>
      <c r="C46" s="231">
        <v>1712</v>
      </c>
      <c r="D46" s="230">
        <v>847</v>
      </c>
      <c r="E46" s="198">
        <f t="shared" si="0"/>
        <v>49.5</v>
      </c>
      <c r="F46" s="234">
        <v>849</v>
      </c>
      <c r="G46" s="198">
        <f t="shared" si="1"/>
        <v>49.6</v>
      </c>
      <c r="H46" s="234">
        <f>1012+153+132+48</f>
        <v>1345</v>
      </c>
      <c r="I46" s="198">
        <f t="shared" si="2"/>
        <v>78.599999999999994</v>
      </c>
      <c r="J46" s="233">
        <v>846</v>
      </c>
      <c r="K46" s="198">
        <f t="shared" si="3"/>
        <v>49.4</v>
      </c>
      <c r="L46" s="232">
        <v>839</v>
      </c>
      <c r="M46" s="198">
        <f t="shared" si="4"/>
        <v>49</v>
      </c>
      <c r="N46" s="231">
        <v>1680</v>
      </c>
      <c r="O46" s="230">
        <v>1186</v>
      </c>
      <c r="P46" s="198">
        <f t="shared" si="5"/>
        <v>70.599999999999994</v>
      </c>
      <c r="Q46" s="229">
        <f>559+107+146+56</f>
        <v>868</v>
      </c>
      <c r="R46" s="198">
        <f t="shared" si="6"/>
        <v>51.7</v>
      </c>
    </row>
    <row r="47" spans="1:18" ht="18.95" customHeight="1" thickBot="1" x14ac:dyDescent="0.25">
      <c r="B47" s="201" t="s">
        <v>41</v>
      </c>
      <c r="C47" s="228">
        <f>SUM(C11:C46)</f>
        <v>857099</v>
      </c>
      <c r="D47" s="228">
        <f>SUM(D11:D46)</f>
        <v>788916</v>
      </c>
      <c r="E47" s="198">
        <f t="shared" si="0"/>
        <v>92</v>
      </c>
      <c r="F47" s="228">
        <f>SUM(F11:F46)</f>
        <v>790240</v>
      </c>
      <c r="G47" s="198">
        <f t="shared" si="1"/>
        <v>92.2</v>
      </c>
      <c r="H47" s="228">
        <f>SUM(H11:H46)</f>
        <v>794039</v>
      </c>
      <c r="I47" s="198">
        <f t="shared" si="2"/>
        <v>92.6</v>
      </c>
      <c r="J47" s="228">
        <f>SUM(J11:J46)</f>
        <v>790318</v>
      </c>
      <c r="K47" s="198">
        <f t="shared" si="3"/>
        <v>92.2</v>
      </c>
      <c r="L47" s="228">
        <f>SUM(L11:L46)</f>
        <v>789253</v>
      </c>
      <c r="M47" s="198">
        <f t="shared" si="4"/>
        <v>92.1</v>
      </c>
      <c r="N47" s="228">
        <f>SUM(N11:N46)</f>
        <v>855891</v>
      </c>
      <c r="O47" s="228">
        <f>SUM(O11:O46)</f>
        <v>790507</v>
      </c>
      <c r="P47" s="198">
        <f t="shared" si="5"/>
        <v>92.4</v>
      </c>
      <c r="Q47" s="228">
        <f>SUM(Q11:Q46)</f>
        <v>694162</v>
      </c>
      <c r="R47" s="198">
        <f t="shared" si="6"/>
        <v>81.099999999999994</v>
      </c>
    </row>
    <row r="48" spans="1:18" ht="13.5" thickBot="1" x14ac:dyDescent="0.25">
      <c r="B48" s="195" t="s">
        <v>105</v>
      </c>
      <c r="C48" s="195"/>
      <c r="D48" s="196">
        <f ca="1">NOW()</f>
        <v>43938.790609606483</v>
      </c>
      <c r="E48" s="194"/>
      <c r="F48" s="195"/>
      <c r="G48" s="190"/>
      <c r="H48" s="195"/>
      <c r="I48" s="190"/>
      <c r="J48" s="195"/>
      <c r="K48" s="190"/>
      <c r="L48" s="194"/>
      <c r="M48" s="190"/>
      <c r="N48" s="195"/>
      <c r="O48" s="194"/>
      <c r="P48" s="191"/>
      <c r="Q48" s="190"/>
      <c r="R48" s="190"/>
    </row>
    <row r="50" spans="5:16" x14ac:dyDescent="0.2">
      <c r="E50" s="188"/>
      <c r="H50" s="188"/>
      <c r="O50" s="227"/>
    </row>
    <row r="51" spans="5:16" x14ac:dyDescent="0.2">
      <c r="F51" s="188"/>
      <c r="H51" s="188"/>
      <c r="N51" s="188"/>
      <c r="P51" s="188"/>
    </row>
    <row r="52" spans="5:16" x14ac:dyDescent="0.2">
      <c r="H52" s="188"/>
      <c r="I52" s="188"/>
    </row>
    <row r="54" spans="5:16" x14ac:dyDescent="0.2">
      <c r="K54" s="188"/>
    </row>
  </sheetData>
  <mergeCells count="8">
    <mergeCell ref="B8:R8"/>
    <mergeCell ref="D9:E9"/>
    <mergeCell ref="F9:G9"/>
    <mergeCell ref="H9:I9"/>
    <mergeCell ref="J9:K9"/>
    <mergeCell ref="L9:M9"/>
    <mergeCell ref="O9:P9"/>
    <mergeCell ref="Q9:R9"/>
  </mergeCells>
  <conditionalFormatting sqref="E11:E47 G11:G47 I11:I47 K11:K47 M11:M47 P11:P47 R11:R47">
    <cfRule type="cellIs" dxfId="759" priority="53" stopIfTrue="1" operator="between">
      <formula>0.01</formula>
      <formula>49.9</formula>
    </cfRule>
    <cfRule type="cellIs" dxfId="758" priority="54" stopIfTrue="1" operator="between">
      <formula>50</formula>
      <formula>79.9</formula>
    </cfRule>
    <cfRule type="cellIs" dxfId="757" priority="55" stopIfTrue="1" operator="between">
      <formula>80</formula>
      <formula>94.9</formula>
    </cfRule>
    <cfRule type="cellIs" dxfId="756" priority="56" stopIfTrue="1" operator="greaterThanOrEqual">
      <formula>95</formula>
    </cfRule>
  </conditionalFormatting>
  <printOptions horizontalCentered="1"/>
  <pageMargins left="0.19685039370078741" right="0.19685039370078741" top="0.82677165354330717" bottom="0.23622047244094491" header="0" footer="0"/>
  <pageSetup scale="68" orientation="landscape" r:id="rId1"/>
  <headerFooter alignWithMargins="0">
    <oddHeader>&amp;L      &amp;G&amp;C&amp;"Arial,Negrita"Ministerio de la Portección Social
República de Colombia
Dirección General de Salud Pública
Programa Ampliado de Inmunizaciones - PAI&amp;R&amp;G       .</oddHeader>
    <oddFooter>&amp;L           Fecha: &amp;D&amp;C&amp;F&amp;R&amp;P        .</oddFooter>
  </headerFooter>
  <drawing r:id="rId2"/>
  <legacyDrawingHF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FF"/>
  </sheetPr>
  <dimension ref="A6:AD50"/>
  <sheetViews>
    <sheetView zoomScale="90" zoomScaleNormal="90" workbookViewId="0">
      <pane xSplit="2" ySplit="10" topLeftCell="C11" activePane="bottomRight" state="frozen"/>
      <selection activeCell="A4" sqref="A4"/>
      <selection pane="topRight" activeCell="A4" sqref="A4"/>
      <selection pane="bottomLeft" activeCell="A4" sqref="A4"/>
      <selection pane="bottomRight" activeCell="C11" sqref="C11"/>
    </sheetView>
  </sheetViews>
  <sheetFormatPr baseColWidth="10" defaultColWidth="11" defaultRowHeight="12" x14ac:dyDescent="0.2"/>
  <cols>
    <col min="1" max="1" width="7.42578125" style="873" bestFit="1" customWidth="1"/>
    <col min="2" max="2" width="22.28515625" style="873" customWidth="1"/>
    <col min="3" max="3" width="12.28515625" style="873" customWidth="1"/>
    <col min="4" max="4" width="10" style="873" customWidth="1"/>
    <col min="5" max="5" width="6.7109375" style="873" customWidth="1"/>
    <col min="6" max="6" width="8.7109375" style="873" customWidth="1"/>
    <col min="7" max="7" width="6.7109375" style="873" customWidth="1"/>
    <col min="8" max="8" width="8.7109375" style="873" customWidth="1"/>
    <col min="9" max="9" width="6.7109375" style="873" customWidth="1"/>
    <col min="10" max="10" width="8.7109375" style="873" customWidth="1"/>
    <col min="11" max="11" width="6.7109375" style="873" customWidth="1"/>
    <col min="12" max="12" width="8.7109375" style="873" customWidth="1"/>
    <col min="13" max="13" width="6.7109375" style="873" customWidth="1"/>
    <col min="14" max="14" width="10.7109375" style="873" bestFit="1" customWidth="1"/>
    <col min="15" max="15" width="8.7109375" style="873" bestFit="1" customWidth="1"/>
    <col min="16" max="16" width="6.7109375" style="873" bestFit="1" customWidth="1"/>
    <col min="17" max="17" width="8.7109375" style="873" bestFit="1" customWidth="1"/>
    <col min="18" max="18" width="6.7109375" style="873" bestFit="1" customWidth="1"/>
    <col min="19" max="19" width="9.5703125" style="873" bestFit="1" customWidth="1"/>
    <col min="20" max="20" width="6.7109375" style="873" bestFit="1" customWidth="1"/>
    <col min="21" max="21" width="9.140625" style="873" bestFit="1" customWidth="1"/>
    <col min="22" max="22" width="5.7109375" style="873" bestFit="1" customWidth="1"/>
    <col min="23" max="23" width="9.5703125" style="873" bestFit="1" customWidth="1"/>
    <col min="24" max="24" width="10" style="873" customWidth="1"/>
    <col min="25" max="25" width="11.42578125" style="873" bestFit="1" customWidth="1"/>
    <col min="26" max="26" width="10.140625" style="873" customWidth="1"/>
    <col min="27" max="27" width="12.5703125" style="873" bestFit="1" customWidth="1"/>
    <col min="28" max="28" width="7" style="873" bestFit="1" customWidth="1"/>
    <col min="29" max="16384" width="11" style="873"/>
  </cols>
  <sheetData>
    <row r="6" spans="1:30" x14ac:dyDescent="0.2">
      <c r="A6" s="702" t="s">
        <v>305</v>
      </c>
      <c r="C6" s="753" t="s">
        <v>314</v>
      </c>
    </row>
    <row r="7" spans="1:30" x14ac:dyDescent="0.2">
      <c r="A7" s="702" t="s">
        <v>306</v>
      </c>
      <c r="C7" s="776">
        <v>40189</v>
      </c>
    </row>
    <row r="8" spans="1:30" x14ac:dyDescent="0.2">
      <c r="A8" s="702" t="s">
        <v>307</v>
      </c>
      <c r="C8" s="766" t="s">
        <v>312</v>
      </c>
    </row>
    <row r="9" spans="1:30" ht="12.75" thickBot="1" x14ac:dyDescent="0.25">
      <c r="A9" s="702"/>
    </row>
    <row r="10" spans="1:30" s="907" customFormat="1" ht="48.75" customHeight="1" thickBot="1" x14ac:dyDescent="0.25">
      <c r="A10" s="904" t="s">
        <v>140</v>
      </c>
      <c r="B10" s="904" t="s">
        <v>210</v>
      </c>
      <c r="C10" s="905" t="s">
        <v>289</v>
      </c>
      <c r="D10" s="661" t="s">
        <v>158</v>
      </c>
      <c r="E10" s="662" t="s">
        <v>159</v>
      </c>
      <c r="F10" s="667" t="s">
        <v>237</v>
      </c>
      <c r="G10" s="668" t="s">
        <v>164</v>
      </c>
      <c r="H10" s="669" t="s">
        <v>165</v>
      </c>
      <c r="I10" s="670" t="s">
        <v>166</v>
      </c>
      <c r="J10" s="667" t="s">
        <v>167</v>
      </c>
      <c r="K10" s="668" t="s">
        <v>168</v>
      </c>
      <c r="L10" s="667" t="s">
        <v>169</v>
      </c>
      <c r="M10" s="668" t="s">
        <v>209</v>
      </c>
      <c r="N10" s="906" t="s">
        <v>290</v>
      </c>
      <c r="O10" s="681" t="s">
        <v>177</v>
      </c>
      <c r="P10" s="682" t="s">
        <v>178</v>
      </c>
      <c r="Q10" s="683" t="s">
        <v>179</v>
      </c>
      <c r="R10" s="684" t="s">
        <v>180</v>
      </c>
      <c r="S10" s="675" t="s">
        <v>172</v>
      </c>
      <c r="T10" s="676" t="s">
        <v>173</v>
      </c>
      <c r="U10" s="685" t="s">
        <v>185</v>
      </c>
      <c r="V10" s="689" t="s">
        <v>186</v>
      </c>
      <c r="W10" s="689" t="s">
        <v>189</v>
      </c>
      <c r="X10" s="689" t="s">
        <v>301</v>
      </c>
      <c r="Y10" s="686" t="s">
        <v>190</v>
      </c>
      <c r="Z10" s="686" t="s">
        <v>302</v>
      </c>
    </row>
    <row r="11" spans="1:30" ht="14.1" customHeight="1" x14ac:dyDescent="0.2">
      <c r="A11" s="845">
        <v>91</v>
      </c>
      <c r="B11" s="793" t="s">
        <v>12</v>
      </c>
      <c r="C11" s="874">
        <v>2107</v>
      </c>
      <c r="D11" s="875">
        <v>1559</v>
      </c>
      <c r="E11" s="853">
        <f t="shared" ref="E11:E47" si="0">ROUND(D11/$C11*100,1)</f>
        <v>74</v>
      </c>
      <c r="F11" s="875">
        <v>1564</v>
      </c>
      <c r="G11" s="853">
        <f t="shared" ref="G11:G47" si="1">ROUND(F11/$C11*100,1)</f>
        <v>74.2</v>
      </c>
      <c r="H11" s="875">
        <v>1681</v>
      </c>
      <c r="I11" s="853">
        <f t="shared" ref="I11:I47" si="2">ROUND(H11/$C11*100,1)</f>
        <v>79.8</v>
      </c>
      <c r="J11" s="875">
        <v>1565</v>
      </c>
      <c r="K11" s="853">
        <f t="shared" ref="K11:K47" si="3">ROUND(J11/$C11*100,1)</f>
        <v>74.3</v>
      </c>
      <c r="L11" s="875">
        <v>1564</v>
      </c>
      <c r="M11" s="853">
        <f t="shared" ref="M11:M47" si="4">ROUND(L11/$C11*100,1)</f>
        <v>74.2</v>
      </c>
      <c r="N11" s="876">
        <v>2066</v>
      </c>
      <c r="O11" s="875">
        <v>1809</v>
      </c>
      <c r="P11" s="853">
        <f t="shared" ref="P11:P47" si="5">ROUND(O11/$N11*100,1)</f>
        <v>87.6</v>
      </c>
      <c r="Q11" s="875">
        <v>1808</v>
      </c>
      <c r="R11" s="853">
        <f t="shared" ref="R11:R47" si="6">ROUND(Q11/$N11*100,1)</f>
        <v>87.5</v>
      </c>
      <c r="S11" s="875">
        <v>987</v>
      </c>
      <c r="T11" s="853">
        <f t="shared" ref="T11:T47" si="7">ROUND(S11/$AB11*100,1)</f>
        <v>70.3</v>
      </c>
      <c r="U11" s="875">
        <v>70</v>
      </c>
      <c r="V11" s="877">
        <f t="shared" ref="V11:V47" si="8">U11/C11*100</f>
        <v>3.322259136212625</v>
      </c>
      <c r="W11" s="875">
        <v>2</v>
      </c>
      <c r="X11" s="878">
        <f t="shared" ref="X11:X47" si="9">W11/N11*100</f>
        <v>9.6805421103581799E-2</v>
      </c>
      <c r="Y11" s="875">
        <v>0</v>
      </c>
      <c r="Z11" s="878">
        <f t="shared" ref="Z11:Z47" si="10">Y11/N11*100</f>
        <v>0</v>
      </c>
      <c r="AA11" s="879">
        <f t="shared" ref="AA11:AA46" si="11">+D11+F11+H11+J11+L11+O11+Q11+S11+U11+W11+Y11</f>
        <v>12609</v>
      </c>
      <c r="AB11" s="880">
        <f t="shared" ref="AB11:AB47" si="12">(C11/12)*8</f>
        <v>1404.6666666666667</v>
      </c>
      <c r="AC11" s="881"/>
      <c r="AD11" s="881"/>
    </row>
    <row r="12" spans="1:30" ht="14.1" customHeight="1" x14ac:dyDescent="0.2">
      <c r="A12" s="845" t="s">
        <v>141</v>
      </c>
      <c r="B12" s="802" t="s">
        <v>11</v>
      </c>
      <c r="C12" s="874">
        <v>103161</v>
      </c>
      <c r="D12" s="875">
        <v>85444</v>
      </c>
      <c r="E12" s="796">
        <f t="shared" si="0"/>
        <v>82.8</v>
      </c>
      <c r="F12" s="875">
        <v>85729</v>
      </c>
      <c r="G12" s="796">
        <f t="shared" si="1"/>
        <v>83.1</v>
      </c>
      <c r="H12" s="875">
        <v>87735</v>
      </c>
      <c r="I12" s="796">
        <f t="shared" si="2"/>
        <v>85</v>
      </c>
      <c r="J12" s="875">
        <v>85312</v>
      </c>
      <c r="K12" s="796">
        <f t="shared" si="3"/>
        <v>82.7</v>
      </c>
      <c r="L12" s="875">
        <v>85780</v>
      </c>
      <c r="M12" s="796">
        <f t="shared" si="4"/>
        <v>83.2</v>
      </c>
      <c r="N12" s="882">
        <v>103000</v>
      </c>
      <c r="O12" s="875">
        <v>95219</v>
      </c>
      <c r="P12" s="796">
        <f t="shared" si="5"/>
        <v>92.4</v>
      </c>
      <c r="Q12" s="875">
        <v>96465</v>
      </c>
      <c r="R12" s="796">
        <f t="shared" si="6"/>
        <v>93.7</v>
      </c>
      <c r="S12" s="875">
        <v>59758</v>
      </c>
      <c r="T12" s="796">
        <f t="shared" si="7"/>
        <v>86.9</v>
      </c>
      <c r="U12" s="875">
        <v>7374</v>
      </c>
      <c r="V12" s="877">
        <f t="shared" si="8"/>
        <v>7.148050135225521</v>
      </c>
      <c r="W12" s="875">
        <v>3538</v>
      </c>
      <c r="X12" s="878">
        <f t="shared" si="9"/>
        <v>3.4349514563106793</v>
      </c>
      <c r="Y12" s="875">
        <v>2451</v>
      </c>
      <c r="Z12" s="878">
        <f t="shared" si="10"/>
        <v>2.3796116504854368</v>
      </c>
      <c r="AA12" s="879">
        <f t="shared" si="11"/>
        <v>694805</v>
      </c>
      <c r="AB12" s="880">
        <f t="shared" si="12"/>
        <v>68774</v>
      </c>
      <c r="AC12" s="881"/>
    </row>
    <row r="13" spans="1:30" ht="14.1" customHeight="1" x14ac:dyDescent="0.2">
      <c r="A13" s="847" t="s">
        <v>255</v>
      </c>
      <c r="B13" s="803" t="s">
        <v>13</v>
      </c>
      <c r="C13" s="874">
        <v>6627</v>
      </c>
      <c r="D13" s="875">
        <v>4906</v>
      </c>
      <c r="E13" s="796">
        <f t="shared" si="0"/>
        <v>74</v>
      </c>
      <c r="F13" s="875">
        <v>4903</v>
      </c>
      <c r="G13" s="796">
        <f t="shared" si="1"/>
        <v>74</v>
      </c>
      <c r="H13" s="875">
        <v>4706</v>
      </c>
      <c r="I13" s="796">
        <f t="shared" si="2"/>
        <v>71</v>
      </c>
      <c r="J13" s="875">
        <v>4927</v>
      </c>
      <c r="K13" s="796">
        <f t="shared" si="3"/>
        <v>74.3</v>
      </c>
      <c r="L13" s="875">
        <v>4883</v>
      </c>
      <c r="M13" s="796">
        <f t="shared" si="4"/>
        <v>73.7</v>
      </c>
      <c r="N13" s="883">
        <v>6708</v>
      </c>
      <c r="O13" s="875">
        <v>5188</v>
      </c>
      <c r="P13" s="796">
        <f t="shared" si="5"/>
        <v>77.3</v>
      </c>
      <c r="Q13" s="875">
        <v>5181</v>
      </c>
      <c r="R13" s="796">
        <f t="shared" si="6"/>
        <v>77.2</v>
      </c>
      <c r="S13" s="875">
        <v>3114</v>
      </c>
      <c r="T13" s="796">
        <f t="shared" si="7"/>
        <v>70.5</v>
      </c>
      <c r="U13" s="875">
        <v>62</v>
      </c>
      <c r="V13" s="877">
        <f t="shared" si="8"/>
        <v>0.93556662139731395</v>
      </c>
      <c r="W13" s="875">
        <v>436</v>
      </c>
      <c r="X13" s="878">
        <f t="shared" si="9"/>
        <v>6.4997018485390576</v>
      </c>
      <c r="Y13" s="875">
        <v>471</v>
      </c>
      <c r="Z13" s="878">
        <f t="shared" si="10"/>
        <v>7.021466905187836</v>
      </c>
      <c r="AA13" s="879">
        <f t="shared" si="11"/>
        <v>38777</v>
      </c>
      <c r="AB13" s="880">
        <f t="shared" si="12"/>
        <v>4418</v>
      </c>
      <c r="AC13" s="881"/>
    </row>
    <row r="14" spans="1:30" ht="14.1" customHeight="1" x14ac:dyDescent="0.2">
      <c r="A14" s="847" t="s">
        <v>142</v>
      </c>
      <c r="B14" s="803" t="s">
        <v>14</v>
      </c>
      <c r="C14" s="874">
        <v>22323</v>
      </c>
      <c r="D14" s="875">
        <v>22235</v>
      </c>
      <c r="E14" s="796">
        <f t="shared" si="0"/>
        <v>99.6</v>
      </c>
      <c r="F14" s="875">
        <v>22234</v>
      </c>
      <c r="G14" s="796">
        <f t="shared" si="1"/>
        <v>99.6</v>
      </c>
      <c r="H14" s="875">
        <v>21564</v>
      </c>
      <c r="I14" s="796">
        <f t="shared" si="2"/>
        <v>96.6</v>
      </c>
      <c r="J14" s="875">
        <v>22234</v>
      </c>
      <c r="K14" s="796">
        <f t="shared" si="3"/>
        <v>99.6</v>
      </c>
      <c r="L14" s="875">
        <v>22234</v>
      </c>
      <c r="M14" s="796">
        <f t="shared" si="4"/>
        <v>99.6</v>
      </c>
      <c r="N14" s="883">
        <v>22450</v>
      </c>
      <c r="O14" s="875">
        <v>22407</v>
      </c>
      <c r="P14" s="796">
        <f t="shared" si="5"/>
        <v>99.8</v>
      </c>
      <c r="Q14" s="875">
        <v>22342</v>
      </c>
      <c r="R14" s="796">
        <f t="shared" si="6"/>
        <v>99.5</v>
      </c>
      <c r="S14" s="875">
        <v>8883</v>
      </c>
      <c r="T14" s="796">
        <f t="shared" si="7"/>
        <v>59.7</v>
      </c>
      <c r="U14" s="875">
        <v>440</v>
      </c>
      <c r="V14" s="877">
        <f t="shared" si="8"/>
        <v>1.9710612372888947</v>
      </c>
      <c r="W14" s="875">
        <v>86</v>
      </c>
      <c r="X14" s="878">
        <f t="shared" si="9"/>
        <v>0.38307349665924278</v>
      </c>
      <c r="Y14" s="875">
        <v>41</v>
      </c>
      <c r="Z14" s="878">
        <f t="shared" si="10"/>
        <v>0.18262806236080179</v>
      </c>
      <c r="AA14" s="879">
        <f t="shared" si="11"/>
        <v>164700</v>
      </c>
      <c r="AB14" s="880">
        <f t="shared" si="12"/>
        <v>14882</v>
      </c>
    </row>
    <row r="15" spans="1:30" ht="14.1" customHeight="1" x14ac:dyDescent="0.2">
      <c r="A15" s="848" t="s">
        <v>245</v>
      </c>
      <c r="B15" s="804" t="s">
        <v>115</v>
      </c>
      <c r="C15" s="874">
        <v>20345</v>
      </c>
      <c r="D15" s="875">
        <v>22737</v>
      </c>
      <c r="E15" s="796">
        <f t="shared" si="0"/>
        <v>111.8</v>
      </c>
      <c r="F15" s="875">
        <v>23004</v>
      </c>
      <c r="G15" s="796">
        <f t="shared" si="1"/>
        <v>113.1</v>
      </c>
      <c r="H15" s="875">
        <v>27280</v>
      </c>
      <c r="I15" s="796">
        <f t="shared" si="2"/>
        <v>134.1</v>
      </c>
      <c r="J15" s="875">
        <v>23004</v>
      </c>
      <c r="K15" s="796">
        <f t="shared" si="3"/>
        <v>113.1</v>
      </c>
      <c r="L15" s="875">
        <v>23004</v>
      </c>
      <c r="M15" s="796">
        <f t="shared" si="4"/>
        <v>113.1</v>
      </c>
      <c r="N15" s="883">
        <v>20619</v>
      </c>
      <c r="O15" s="875">
        <v>23368</v>
      </c>
      <c r="P15" s="796">
        <f t="shared" si="5"/>
        <v>113.3</v>
      </c>
      <c r="Q15" s="875">
        <v>21758</v>
      </c>
      <c r="R15" s="796">
        <f t="shared" si="6"/>
        <v>105.5</v>
      </c>
      <c r="S15" s="875">
        <v>12911</v>
      </c>
      <c r="T15" s="796">
        <f t="shared" si="7"/>
        <v>95.2</v>
      </c>
      <c r="U15" s="875">
        <v>676</v>
      </c>
      <c r="V15" s="877">
        <f t="shared" si="8"/>
        <v>3.3226837060702876</v>
      </c>
      <c r="W15" s="875">
        <v>164</v>
      </c>
      <c r="X15" s="878">
        <f t="shared" si="9"/>
        <v>0.7953828992676657</v>
      </c>
      <c r="Y15" s="875">
        <v>168</v>
      </c>
      <c r="Z15" s="878">
        <f t="shared" si="10"/>
        <v>0.81478248217663318</v>
      </c>
      <c r="AA15" s="879">
        <f t="shared" si="11"/>
        <v>178074</v>
      </c>
      <c r="AB15" s="880">
        <f t="shared" si="12"/>
        <v>13563.333333333334</v>
      </c>
    </row>
    <row r="16" spans="1:30" ht="14.1" customHeight="1" x14ac:dyDescent="0.2">
      <c r="A16" s="847" t="s">
        <v>303</v>
      </c>
      <c r="B16" s="803" t="s">
        <v>116</v>
      </c>
      <c r="C16" s="884">
        <v>119208</v>
      </c>
      <c r="D16" s="875">
        <v>115265</v>
      </c>
      <c r="E16" s="796">
        <f t="shared" si="0"/>
        <v>96.7</v>
      </c>
      <c r="F16" s="875">
        <v>115176</v>
      </c>
      <c r="G16" s="796">
        <f t="shared" si="1"/>
        <v>96.6</v>
      </c>
      <c r="H16" s="875">
        <v>122374</v>
      </c>
      <c r="I16" s="796">
        <f t="shared" si="2"/>
        <v>102.7</v>
      </c>
      <c r="J16" s="875">
        <v>115185</v>
      </c>
      <c r="K16" s="796">
        <f t="shared" si="3"/>
        <v>96.6</v>
      </c>
      <c r="L16" s="875">
        <v>115176</v>
      </c>
      <c r="M16" s="796">
        <f t="shared" si="4"/>
        <v>96.6</v>
      </c>
      <c r="N16" s="885">
        <v>118604</v>
      </c>
      <c r="O16" s="875">
        <v>117039</v>
      </c>
      <c r="P16" s="796">
        <f t="shared" si="5"/>
        <v>98.7</v>
      </c>
      <c r="Q16" s="875">
        <v>124011</v>
      </c>
      <c r="R16" s="796">
        <f t="shared" si="6"/>
        <v>104.6</v>
      </c>
      <c r="S16" s="875">
        <v>109459</v>
      </c>
      <c r="T16" s="796">
        <f t="shared" si="7"/>
        <v>137.69999999999999</v>
      </c>
      <c r="U16" s="875">
        <v>100504</v>
      </c>
      <c r="V16" s="877">
        <f t="shared" si="8"/>
        <v>84.309777867257225</v>
      </c>
      <c r="W16" s="875">
        <v>564</v>
      </c>
      <c r="X16" s="878">
        <f t="shared" si="9"/>
        <v>0.47553202252875115</v>
      </c>
      <c r="Y16" s="875">
        <v>771</v>
      </c>
      <c r="Z16" s="878">
        <f t="shared" si="10"/>
        <v>0.65006239249940978</v>
      </c>
      <c r="AA16" s="879">
        <f t="shared" si="11"/>
        <v>1035524</v>
      </c>
      <c r="AB16" s="880">
        <f t="shared" si="12"/>
        <v>79472</v>
      </c>
    </row>
    <row r="17" spans="1:28" ht="14.1" customHeight="1" x14ac:dyDescent="0.2">
      <c r="A17" s="847" t="s">
        <v>256</v>
      </c>
      <c r="B17" s="803" t="s">
        <v>117</v>
      </c>
      <c r="C17" s="874">
        <v>24551</v>
      </c>
      <c r="D17" s="875">
        <v>23224</v>
      </c>
      <c r="E17" s="796">
        <f t="shared" si="0"/>
        <v>94.6</v>
      </c>
      <c r="F17" s="875">
        <v>23526</v>
      </c>
      <c r="G17" s="796">
        <f t="shared" si="1"/>
        <v>95.8</v>
      </c>
      <c r="H17" s="875">
        <v>21180</v>
      </c>
      <c r="I17" s="796">
        <f t="shared" si="2"/>
        <v>86.3</v>
      </c>
      <c r="J17" s="875">
        <v>23526</v>
      </c>
      <c r="K17" s="796">
        <f t="shared" si="3"/>
        <v>95.8</v>
      </c>
      <c r="L17" s="875">
        <v>23526</v>
      </c>
      <c r="M17" s="796">
        <f t="shared" si="4"/>
        <v>95.8</v>
      </c>
      <c r="N17" s="883">
        <v>24233</v>
      </c>
      <c r="O17" s="875">
        <v>22626</v>
      </c>
      <c r="P17" s="796">
        <f t="shared" si="5"/>
        <v>93.4</v>
      </c>
      <c r="Q17" s="875">
        <v>22748</v>
      </c>
      <c r="R17" s="796">
        <f t="shared" si="6"/>
        <v>93.9</v>
      </c>
      <c r="S17" s="875">
        <v>10512</v>
      </c>
      <c r="T17" s="796">
        <f t="shared" si="7"/>
        <v>64.2</v>
      </c>
      <c r="U17" s="875">
        <v>205</v>
      </c>
      <c r="V17" s="877">
        <f t="shared" si="8"/>
        <v>0.83499653781923344</v>
      </c>
      <c r="W17" s="875">
        <v>308</v>
      </c>
      <c r="X17" s="878">
        <f t="shared" si="9"/>
        <v>1.2709940989559692</v>
      </c>
      <c r="Y17" s="875">
        <v>158</v>
      </c>
      <c r="Z17" s="878">
        <f t="shared" si="10"/>
        <v>0.65200346634754258</v>
      </c>
      <c r="AA17" s="879">
        <f t="shared" si="11"/>
        <v>171539</v>
      </c>
      <c r="AB17" s="880">
        <f t="shared" si="12"/>
        <v>16367.333333333334</v>
      </c>
    </row>
    <row r="18" spans="1:28" ht="14.1" customHeight="1" x14ac:dyDescent="0.2">
      <c r="A18" s="848" t="s">
        <v>257</v>
      </c>
      <c r="B18" s="804" t="s">
        <v>45</v>
      </c>
      <c r="C18" s="874">
        <v>17143</v>
      </c>
      <c r="D18" s="875">
        <v>20346</v>
      </c>
      <c r="E18" s="796">
        <f t="shared" si="0"/>
        <v>118.7</v>
      </c>
      <c r="F18" s="875">
        <v>20590</v>
      </c>
      <c r="G18" s="796">
        <f t="shared" si="1"/>
        <v>120.1</v>
      </c>
      <c r="H18" s="875">
        <v>23514</v>
      </c>
      <c r="I18" s="796">
        <f t="shared" si="2"/>
        <v>137.19999999999999</v>
      </c>
      <c r="J18" s="875">
        <v>20590</v>
      </c>
      <c r="K18" s="796">
        <f t="shared" si="3"/>
        <v>120.1</v>
      </c>
      <c r="L18" s="875">
        <v>20590</v>
      </c>
      <c r="M18" s="796">
        <f t="shared" si="4"/>
        <v>120.1</v>
      </c>
      <c r="N18" s="883">
        <v>17254</v>
      </c>
      <c r="O18" s="875">
        <v>20457</v>
      </c>
      <c r="P18" s="796">
        <f t="shared" si="5"/>
        <v>118.6</v>
      </c>
      <c r="Q18" s="875">
        <v>19635</v>
      </c>
      <c r="R18" s="796">
        <f t="shared" si="6"/>
        <v>113.8</v>
      </c>
      <c r="S18" s="875">
        <v>9404</v>
      </c>
      <c r="T18" s="796">
        <f t="shared" si="7"/>
        <v>82.3</v>
      </c>
      <c r="U18" s="875">
        <v>1477</v>
      </c>
      <c r="V18" s="877">
        <f t="shared" si="8"/>
        <v>8.615761535320539</v>
      </c>
      <c r="W18" s="875">
        <v>1751</v>
      </c>
      <c r="X18" s="878">
        <f t="shared" si="9"/>
        <v>10.148371392140952</v>
      </c>
      <c r="Y18" s="875">
        <v>175</v>
      </c>
      <c r="Z18" s="878">
        <f t="shared" si="10"/>
        <v>1.0142575634635447</v>
      </c>
      <c r="AA18" s="879">
        <f t="shared" si="11"/>
        <v>158529</v>
      </c>
      <c r="AB18" s="880">
        <f t="shared" si="12"/>
        <v>11428.666666666666</v>
      </c>
    </row>
    <row r="19" spans="1:28" ht="14.1" customHeight="1" x14ac:dyDescent="0.2">
      <c r="A19" s="849" t="s">
        <v>258</v>
      </c>
      <c r="B19" s="805" t="s">
        <v>118</v>
      </c>
      <c r="C19" s="874">
        <v>23293</v>
      </c>
      <c r="D19" s="875">
        <v>21432</v>
      </c>
      <c r="E19" s="796">
        <f t="shared" si="0"/>
        <v>92</v>
      </c>
      <c r="F19" s="875">
        <v>21395</v>
      </c>
      <c r="G19" s="796">
        <f t="shared" si="1"/>
        <v>91.9</v>
      </c>
      <c r="H19" s="875">
        <v>19117</v>
      </c>
      <c r="I19" s="796">
        <f t="shared" si="2"/>
        <v>82.1</v>
      </c>
      <c r="J19" s="875">
        <v>21395</v>
      </c>
      <c r="K19" s="796">
        <f t="shared" si="3"/>
        <v>91.9</v>
      </c>
      <c r="L19" s="875">
        <v>21395</v>
      </c>
      <c r="M19" s="796">
        <f t="shared" si="4"/>
        <v>91.9</v>
      </c>
      <c r="N19" s="883">
        <v>23658</v>
      </c>
      <c r="O19" s="875">
        <v>21517</v>
      </c>
      <c r="P19" s="796">
        <f t="shared" si="5"/>
        <v>91</v>
      </c>
      <c r="Q19" s="875">
        <v>21523</v>
      </c>
      <c r="R19" s="796">
        <f t="shared" si="6"/>
        <v>91</v>
      </c>
      <c r="S19" s="875">
        <v>14023</v>
      </c>
      <c r="T19" s="796">
        <f t="shared" si="7"/>
        <v>90.3</v>
      </c>
      <c r="U19" s="875">
        <v>578</v>
      </c>
      <c r="V19" s="877">
        <f t="shared" si="8"/>
        <v>2.4814321899283049</v>
      </c>
      <c r="W19" s="875">
        <v>805</v>
      </c>
      <c r="X19" s="878">
        <f t="shared" si="9"/>
        <v>3.4026544931946909</v>
      </c>
      <c r="Y19" s="875">
        <v>332</v>
      </c>
      <c r="Z19" s="878">
        <f t="shared" si="10"/>
        <v>1.4033307971933384</v>
      </c>
      <c r="AA19" s="879">
        <f t="shared" si="11"/>
        <v>163512</v>
      </c>
      <c r="AB19" s="880">
        <f t="shared" si="12"/>
        <v>15528.666666666666</v>
      </c>
    </row>
    <row r="20" spans="1:28" ht="14.1" customHeight="1" x14ac:dyDescent="0.2">
      <c r="A20" s="849" t="s">
        <v>259</v>
      </c>
      <c r="B20" s="805" t="s">
        <v>19</v>
      </c>
      <c r="C20" s="874">
        <v>16709</v>
      </c>
      <c r="D20" s="875">
        <v>12889</v>
      </c>
      <c r="E20" s="796">
        <f t="shared" si="0"/>
        <v>77.099999999999994</v>
      </c>
      <c r="F20" s="875">
        <v>12871</v>
      </c>
      <c r="G20" s="796">
        <f t="shared" si="1"/>
        <v>77</v>
      </c>
      <c r="H20" s="875">
        <v>10493</v>
      </c>
      <c r="I20" s="796">
        <f t="shared" si="2"/>
        <v>62.8</v>
      </c>
      <c r="J20" s="875">
        <v>12653</v>
      </c>
      <c r="K20" s="796">
        <f t="shared" si="3"/>
        <v>75.7</v>
      </c>
      <c r="L20" s="875">
        <v>12623</v>
      </c>
      <c r="M20" s="796">
        <f t="shared" si="4"/>
        <v>75.5</v>
      </c>
      <c r="N20" s="883">
        <v>16697</v>
      </c>
      <c r="O20" s="875">
        <v>13169</v>
      </c>
      <c r="P20" s="796">
        <f t="shared" si="5"/>
        <v>78.900000000000006</v>
      </c>
      <c r="Q20" s="875">
        <v>13278</v>
      </c>
      <c r="R20" s="796">
        <f t="shared" si="6"/>
        <v>79.5</v>
      </c>
      <c r="S20" s="875">
        <v>6055</v>
      </c>
      <c r="T20" s="796">
        <f t="shared" si="7"/>
        <v>54.4</v>
      </c>
      <c r="U20" s="875">
        <v>252</v>
      </c>
      <c r="V20" s="877">
        <f t="shared" si="8"/>
        <v>1.5081692501047339</v>
      </c>
      <c r="W20" s="875">
        <v>154</v>
      </c>
      <c r="X20" s="878">
        <f t="shared" si="9"/>
        <v>0.92232137509732293</v>
      </c>
      <c r="Y20" s="875">
        <v>44</v>
      </c>
      <c r="Z20" s="878">
        <f t="shared" si="10"/>
        <v>0.26352039288494938</v>
      </c>
      <c r="AA20" s="879">
        <f t="shared" si="11"/>
        <v>94481</v>
      </c>
      <c r="AB20" s="880">
        <f t="shared" si="12"/>
        <v>11139.333333333334</v>
      </c>
    </row>
    <row r="21" spans="1:28" ht="14.1" customHeight="1" x14ac:dyDescent="0.2">
      <c r="A21" s="847" t="s">
        <v>260</v>
      </c>
      <c r="B21" s="803" t="s">
        <v>119</v>
      </c>
      <c r="C21" s="874">
        <v>10775</v>
      </c>
      <c r="D21" s="875">
        <v>9345</v>
      </c>
      <c r="E21" s="796">
        <f t="shared" si="0"/>
        <v>86.7</v>
      </c>
      <c r="F21" s="875">
        <v>9336</v>
      </c>
      <c r="G21" s="796">
        <f t="shared" si="1"/>
        <v>86.6</v>
      </c>
      <c r="H21" s="875">
        <v>9765</v>
      </c>
      <c r="I21" s="796">
        <f t="shared" si="2"/>
        <v>90.6</v>
      </c>
      <c r="J21" s="875">
        <v>9340</v>
      </c>
      <c r="K21" s="796">
        <f t="shared" si="3"/>
        <v>86.7</v>
      </c>
      <c r="L21" s="875">
        <v>9337</v>
      </c>
      <c r="M21" s="796">
        <f t="shared" si="4"/>
        <v>86.7</v>
      </c>
      <c r="N21" s="883">
        <v>10783</v>
      </c>
      <c r="O21" s="875">
        <v>9448</v>
      </c>
      <c r="P21" s="796">
        <f t="shared" si="5"/>
        <v>87.6</v>
      </c>
      <c r="Q21" s="875">
        <v>9786</v>
      </c>
      <c r="R21" s="796">
        <f t="shared" si="6"/>
        <v>90.8</v>
      </c>
      <c r="S21" s="875">
        <v>3382</v>
      </c>
      <c r="T21" s="796">
        <f t="shared" si="7"/>
        <v>47.1</v>
      </c>
      <c r="U21" s="875">
        <v>64</v>
      </c>
      <c r="V21" s="877">
        <f t="shared" si="8"/>
        <v>0.5939675174013922</v>
      </c>
      <c r="W21" s="875">
        <v>124</v>
      </c>
      <c r="X21" s="878">
        <f t="shared" si="9"/>
        <v>1.1499582676435129</v>
      </c>
      <c r="Y21" s="875">
        <v>31</v>
      </c>
      <c r="Z21" s="878">
        <f t="shared" si="10"/>
        <v>0.28748956691087824</v>
      </c>
      <c r="AA21" s="879">
        <f t="shared" si="11"/>
        <v>69958</v>
      </c>
      <c r="AB21" s="880">
        <f t="shared" si="12"/>
        <v>7183.333333333333</v>
      </c>
    </row>
    <row r="22" spans="1:28" ht="14.1" customHeight="1" x14ac:dyDescent="0.2">
      <c r="A22" s="849" t="s">
        <v>261</v>
      </c>
      <c r="B22" s="805" t="s">
        <v>21</v>
      </c>
      <c r="C22" s="874">
        <v>6989</v>
      </c>
      <c r="D22" s="875">
        <v>6653</v>
      </c>
      <c r="E22" s="796">
        <f t="shared" si="0"/>
        <v>95.2</v>
      </c>
      <c r="F22" s="875">
        <v>6653</v>
      </c>
      <c r="G22" s="796">
        <f t="shared" si="1"/>
        <v>95.2</v>
      </c>
      <c r="H22" s="875">
        <v>6390</v>
      </c>
      <c r="I22" s="796">
        <f t="shared" si="2"/>
        <v>91.4</v>
      </c>
      <c r="J22" s="875">
        <v>6657</v>
      </c>
      <c r="K22" s="796">
        <f t="shared" si="3"/>
        <v>95.2</v>
      </c>
      <c r="L22" s="875">
        <v>6653</v>
      </c>
      <c r="M22" s="796">
        <f t="shared" si="4"/>
        <v>95.2</v>
      </c>
      <c r="N22" s="883">
        <v>7018</v>
      </c>
      <c r="O22" s="875">
        <v>7083</v>
      </c>
      <c r="P22" s="796">
        <f t="shared" si="5"/>
        <v>100.9</v>
      </c>
      <c r="Q22" s="875">
        <v>7020</v>
      </c>
      <c r="R22" s="796">
        <f t="shared" si="6"/>
        <v>100</v>
      </c>
      <c r="S22" s="875">
        <v>5128</v>
      </c>
      <c r="T22" s="796">
        <f t="shared" si="7"/>
        <v>110.1</v>
      </c>
      <c r="U22" s="875">
        <v>1595</v>
      </c>
      <c r="V22" s="877">
        <f t="shared" si="8"/>
        <v>22.821576763485478</v>
      </c>
      <c r="W22" s="875">
        <v>545</v>
      </c>
      <c r="X22" s="878">
        <f t="shared" si="9"/>
        <v>7.7657452265602736</v>
      </c>
      <c r="Y22" s="875">
        <v>4</v>
      </c>
      <c r="Z22" s="878">
        <f t="shared" si="10"/>
        <v>5.6996295240809347E-2</v>
      </c>
      <c r="AA22" s="879">
        <f t="shared" si="11"/>
        <v>54381</v>
      </c>
      <c r="AB22" s="880">
        <f t="shared" si="12"/>
        <v>4659.333333333333</v>
      </c>
    </row>
    <row r="23" spans="1:28" ht="14.1" customHeight="1" x14ac:dyDescent="0.2">
      <c r="A23" s="847" t="s">
        <v>262</v>
      </c>
      <c r="B23" s="803" t="s">
        <v>18</v>
      </c>
      <c r="C23" s="874">
        <v>25992</v>
      </c>
      <c r="D23" s="875">
        <v>24247</v>
      </c>
      <c r="E23" s="796">
        <f t="shared" si="0"/>
        <v>93.3</v>
      </c>
      <c r="F23" s="875">
        <v>24247</v>
      </c>
      <c r="G23" s="796">
        <f t="shared" si="1"/>
        <v>93.3</v>
      </c>
      <c r="H23" s="875">
        <v>19774</v>
      </c>
      <c r="I23" s="796">
        <f t="shared" si="2"/>
        <v>76.099999999999994</v>
      </c>
      <c r="J23" s="875">
        <v>24247</v>
      </c>
      <c r="K23" s="796">
        <f t="shared" si="3"/>
        <v>93.3</v>
      </c>
      <c r="L23" s="875">
        <v>24247</v>
      </c>
      <c r="M23" s="796">
        <f t="shared" si="4"/>
        <v>93.3</v>
      </c>
      <c r="N23" s="883">
        <v>26006</v>
      </c>
      <c r="O23" s="875">
        <v>24513</v>
      </c>
      <c r="P23" s="796">
        <f t="shared" si="5"/>
        <v>94.3</v>
      </c>
      <c r="Q23" s="875">
        <v>24409</v>
      </c>
      <c r="R23" s="796">
        <f t="shared" si="6"/>
        <v>93.9</v>
      </c>
      <c r="S23" s="875">
        <v>10129</v>
      </c>
      <c r="T23" s="796">
        <f t="shared" si="7"/>
        <v>58.5</v>
      </c>
      <c r="U23" s="875">
        <v>12522</v>
      </c>
      <c r="V23" s="877">
        <f t="shared" si="8"/>
        <v>48.176361957525394</v>
      </c>
      <c r="W23" s="875">
        <v>0</v>
      </c>
      <c r="X23" s="878">
        <f t="shared" si="9"/>
        <v>0</v>
      </c>
      <c r="Y23" s="875">
        <v>0</v>
      </c>
      <c r="Z23" s="878">
        <f t="shared" si="10"/>
        <v>0</v>
      </c>
      <c r="AA23" s="879">
        <f t="shared" si="11"/>
        <v>188335</v>
      </c>
      <c r="AB23" s="880">
        <f t="shared" si="12"/>
        <v>17328</v>
      </c>
    </row>
    <row r="24" spans="1:28" ht="14.1" customHeight="1" x14ac:dyDescent="0.2">
      <c r="A24" s="847" t="s">
        <v>263</v>
      </c>
      <c r="B24" s="803" t="s">
        <v>22</v>
      </c>
      <c r="C24" s="874">
        <v>22229</v>
      </c>
      <c r="D24" s="875">
        <v>24028</v>
      </c>
      <c r="E24" s="796">
        <f t="shared" si="0"/>
        <v>108.1</v>
      </c>
      <c r="F24" s="875">
        <v>24027</v>
      </c>
      <c r="G24" s="796">
        <f t="shared" si="1"/>
        <v>108.1</v>
      </c>
      <c r="H24" s="875">
        <v>24891</v>
      </c>
      <c r="I24" s="796">
        <f t="shared" si="2"/>
        <v>112</v>
      </c>
      <c r="J24" s="875">
        <v>24027</v>
      </c>
      <c r="K24" s="796">
        <f t="shared" si="3"/>
        <v>108.1</v>
      </c>
      <c r="L24" s="875">
        <v>24024</v>
      </c>
      <c r="M24" s="796">
        <f t="shared" si="4"/>
        <v>108.1</v>
      </c>
      <c r="N24" s="883">
        <v>22230</v>
      </c>
      <c r="O24" s="875">
        <v>24509</v>
      </c>
      <c r="P24" s="796">
        <f t="shared" si="5"/>
        <v>110.3</v>
      </c>
      <c r="Q24" s="875">
        <v>24740</v>
      </c>
      <c r="R24" s="796">
        <f t="shared" si="6"/>
        <v>111.3</v>
      </c>
      <c r="S24" s="875">
        <v>14596</v>
      </c>
      <c r="T24" s="796">
        <f t="shared" si="7"/>
        <v>98.5</v>
      </c>
      <c r="U24" s="875">
        <v>1490</v>
      </c>
      <c r="V24" s="877">
        <f t="shared" si="8"/>
        <v>6.7029555985424443</v>
      </c>
      <c r="W24" s="875">
        <v>1887</v>
      </c>
      <c r="X24" s="878">
        <f t="shared" si="9"/>
        <v>8.4885290148448043</v>
      </c>
      <c r="Y24" s="875">
        <v>1370</v>
      </c>
      <c r="Z24" s="878">
        <f t="shared" si="10"/>
        <v>6.1628430049482681</v>
      </c>
      <c r="AA24" s="879">
        <f t="shared" si="11"/>
        <v>189589</v>
      </c>
      <c r="AB24" s="880">
        <f t="shared" si="12"/>
        <v>14819.333333333334</v>
      </c>
    </row>
    <row r="25" spans="1:28" ht="14.1" customHeight="1" x14ac:dyDescent="0.2">
      <c r="A25" s="847" t="s">
        <v>264</v>
      </c>
      <c r="B25" s="803" t="s">
        <v>120</v>
      </c>
      <c r="C25" s="874">
        <v>13576</v>
      </c>
      <c r="D25" s="875">
        <v>10236</v>
      </c>
      <c r="E25" s="796">
        <f t="shared" si="0"/>
        <v>75.400000000000006</v>
      </c>
      <c r="F25" s="875">
        <v>10237</v>
      </c>
      <c r="G25" s="796">
        <f t="shared" si="1"/>
        <v>75.400000000000006</v>
      </c>
      <c r="H25" s="875">
        <v>10768</v>
      </c>
      <c r="I25" s="796">
        <f t="shared" si="2"/>
        <v>79.3</v>
      </c>
      <c r="J25" s="875">
        <v>10256</v>
      </c>
      <c r="K25" s="796">
        <f t="shared" si="3"/>
        <v>75.5</v>
      </c>
      <c r="L25" s="875">
        <v>10237</v>
      </c>
      <c r="M25" s="796">
        <f t="shared" si="4"/>
        <v>75.400000000000006</v>
      </c>
      <c r="N25" s="883">
        <v>13434</v>
      </c>
      <c r="O25" s="875">
        <v>11484</v>
      </c>
      <c r="P25" s="796">
        <f t="shared" si="5"/>
        <v>85.5</v>
      </c>
      <c r="Q25" s="875">
        <v>11697</v>
      </c>
      <c r="R25" s="796">
        <f t="shared" si="6"/>
        <v>87.1</v>
      </c>
      <c r="S25" s="875">
        <v>3448</v>
      </c>
      <c r="T25" s="796">
        <f t="shared" si="7"/>
        <v>38.1</v>
      </c>
      <c r="U25" s="875">
        <v>55</v>
      </c>
      <c r="V25" s="877">
        <f t="shared" si="8"/>
        <v>0.40512669416617558</v>
      </c>
      <c r="W25" s="875">
        <v>140</v>
      </c>
      <c r="X25" s="878">
        <f t="shared" si="9"/>
        <v>1.0421319041238648</v>
      </c>
      <c r="Y25" s="875">
        <v>13</v>
      </c>
      <c r="Z25" s="878">
        <f t="shared" si="10"/>
        <v>9.6769391097216023E-2</v>
      </c>
      <c r="AA25" s="879">
        <f t="shared" si="11"/>
        <v>78571</v>
      </c>
      <c r="AB25" s="880">
        <f t="shared" si="12"/>
        <v>9050.6666666666661</v>
      </c>
    </row>
    <row r="26" spans="1:28" ht="14.1" customHeight="1" x14ac:dyDescent="0.2">
      <c r="A26" s="847" t="s">
        <v>265</v>
      </c>
      <c r="B26" s="803" t="s">
        <v>121</v>
      </c>
      <c r="C26" s="874">
        <v>35799</v>
      </c>
      <c r="D26" s="875">
        <v>35705</v>
      </c>
      <c r="E26" s="796">
        <f t="shared" si="0"/>
        <v>99.7</v>
      </c>
      <c r="F26" s="875">
        <v>35707</v>
      </c>
      <c r="G26" s="796">
        <f t="shared" si="1"/>
        <v>99.7</v>
      </c>
      <c r="H26" s="875">
        <v>34156</v>
      </c>
      <c r="I26" s="796">
        <f t="shared" si="2"/>
        <v>95.4</v>
      </c>
      <c r="J26" s="875">
        <v>35724</v>
      </c>
      <c r="K26" s="796">
        <f t="shared" si="3"/>
        <v>99.8</v>
      </c>
      <c r="L26" s="875">
        <v>35706</v>
      </c>
      <c r="M26" s="796">
        <f t="shared" si="4"/>
        <v>99.7</v>
      </c>
      <c r="N26" s="883">
        <v>35525</v>
      </c>
      <c r="O26" s="875">
        <v>36636</v>
      </c>
      <c r="P26" s="796">
        <f t="shared" si="5"/>
        <v>103.1</v>
      </c>
      <c r="Q26" s="875">
        <v>35665</v>
      </c>
      <c r="R26" s="796">
        <f t="shared" si="6"/>
        <v>100.4</v>
      </c>
      <c r="S26" s="875">
        <v>9361</v>
      </c>
      <c r="T26" s="796">
        <f t="shared" si="7"/>
        <v>39.200000000000003</v>
      </c>
      <c r="U26" s="875">
        <v>14</v>
      </c>
      <c r="V26" s="877">
        <f t="shared" si="8"/>
        <v>3.9107237632336096E-2</v>
      </c>
      <c r="W26" s="875">
        <v>30</v>
      </c>
      <c r="X26" s="878">
        <f t="shared" si="9"/>
        <v>8.4447572132301196E-2</v>
      </c>
      <c r="Y26" s="875">
        <v>68</v>
      </c>
      <c r="Z26" s="878">
        <f t="shared" si="10"/>
        <v>0.19141449683321604</v>
      </c>
      <c r="AA26" s="879">
        <f t="shared" si="11"/>
        <v>258772</v>
      </c>
      <c r="AB26" s="880">
        <f t="shared" si="12"/>
        <v>23866</v>
      </c>
    </row>
    <row r="27" spans="1:28" ht="14.1" customHeight="1" x14ac:dyDescent="0.2">
      <c r="A27" s="850" t="s">
        <v>265</v>
      </c>
      <c r="B27" s="807" t="s">
        <v>122</v>
      </c>
      <c r="C27" s="874">
        <v>46254</v>
      </c>
      <c r="D27" s="875">
        <v>35139</v>
      </c>
      <c r="E27" s="796">
        <f t="shared" si="0"/>
        <v>76</v>
      </c>
      <c r="F27" s="875">
        <v>35139</v>
      </c>
      <c r="G27" s="796">
        <f t="shared" si="1"/>
        <v>76</v>
      </c>
      <c r="H27" s="875">
        <v>32300</v>
      </c>
      <c r="I27" s="796">
        <f t="shared" si="2"/>
        <v>69.8</v>
      </c>
      <c r="J27" s="875">
        <v>35142</v>
      </c>
      <c r="K27" s="796">
        <f t="shared" si="3"/>
        <v>76</v>
      </c>
      <c r="L27" s="875">
        <v>35139</v>
      </c>
      <c r="M27" s="796">
        <f t="shared" si="4"/>
        <v>76</v>
      </c>
      <c r="N27" s="883">
        <v>46100</v>
      </c>
      <c r="O27" s="875">
        <v>36291</v>
      </c>
      <c r="P27" s="796">
        <f t="shared" si="5"/>
        <v>78.7</v>
      </c>
      <c r="Q27" s="875">
        <v>32611</v>
      </c>
      <c r="R27" s="796">
        <f t="shared" si="6"/>
        <v>70.7</v>
      </c>
      <c r="S27" s="875">
        <v>17054</v>
      </c>
      <c r="T27" s="796">
        <f t="shared" si="7"/>
        <v>55.3</v>
      </c>
      <c r="U27" s="875">
        <v>641</v>
      </c>
      <c r="V27" s="877">
        <f t="shared" si="8"/>
        <v>1.3858260907164786</v>
      </c>
      <c r="W27" s="875">
        <v>656</v>
      </c>
      <c r="X27" s="878">
        <f t="shared" si="9"/>
        <v>1.4229934924078091</v>
      </c>
      <c r="Y27" s="875">
        <v>242</v>
      </c>
      <c r="Z27" s="878">
        <f t="shared" si="10"/>
        <v>0.52494577006507592</v>
      </c>
      <c r="AA27" s="879">
        <f t="shared" si="11"/>
        <v>260354</v>
      </c>
      <c r="AB27" s="880">
        <f t="shared" si="12"/>
        <v>30836</v>
      </c>
    </row>
    <row r="28" spans="1:28" ht="14.1" customHeight="1" x14ac:dyDescent="0.2">
      <c r="A28" s="847" t="s">
        <v>266</v>
      </c>
      <c r="B28" s="803" t="s">
        <v>123</v>
      </c>
      <c r="C28" s="874">
        <v>1003</v>
      </c>
      <c r="D28" s="875">
        <v>769</v>
      </c>
      <c r="E28" s="796">
        <f t="shared" si="0"/>
        <v>76.7</v>
      </c>
      <c r="F28" s="875">
        <v>753</v>
      </c>
      <c r="G28" s="796">
        <f t="shared" si="1"/>
        <v>75.099999999999994</v>
      </c>
      <c r="H28" s="875">
        <v>779</v>
      </c>
      <c r="I28" s="796">
        <f t="shared" si="2"/>
        <v>77.7</v>
      </c>
      <c r="J28" s="875">
        <v>741</v>
      </c>
      <c r="K28" s="796">
        <f t="shared" si="3"/>
        <v>73.900000000000006</v>
      </c>
      <c r="L28" s="875">
        <v>731</v>
      </c>
      <c r="M28" s="796">
        <f t="shared" si="4"/>
        <v>72.900000000000006</v>
      </c>
      <c r="N28" s="883">
        <v>994</v>
      </c>
      <c r="O28" s="875">
        <v>728</v>
      </c>
      <c r="P28" s="796">
        <f t="shared" si="5"/>
        <v>73.2</v>
      </c>
      <c r="Q28" s="875">
        <v>713</v>
      </c>
      <c r="R28" s="796">
        <f t="shared" si="6"/>
        <v>71.7</v>
      </c>
      <c r="S28" s="875">
        <v>368</v>
      </c>
      <c r="T28" s="796">
        <f t="shared" si="7"/>
        <v>55</v>
      </c>
      <c r="U28" s="875">
        <v>148</v>
      </c>
      <c r="V28" s="877">
        <f t="shared" si="8"/>
        <v>14.755732801595215</v>
      </c>
      <c r="W28" s="875">
        <v>23</v>
      </c>
      <c r="X28" s="878">
        <f t="shared" si="9"/>
        <v>2.3138832997987926</v>
      </c>
      <c r="Y28" s="875">
        <v>8</v>
      </c>
      <c r="Z28" s="878">
        <f t="shared" si="10"/>
        <v>0.8048289738430584</v>
      </c>
      <c r="AA28" s="879">
        <f t="shared" si="11"/>
        <v>5761</v>
      </c>
      <c r="AB28" s="880">
        <f t="shared" si="12"/>
        <v>668.66666666666663</v>
      </c>
    </row>
    <row r="29" spans="1:28" ht="14.1" customHeight="1" x14ac:dyDescent="0.2">
      <c r="A29" s="849" t="s">
        <v>267</v>
      </c>
      <c r="B29" s="805" t="s">
        <v>26</v>
      </c>
      <c r="C29" s="874">
        <v>2798</v>
      </c>
      <c r="D29" s="875">
        <v>2182</v>
      </c>
      <c r="E29" s="796">
        <f t="shared" si="0"/>
        <v>78</v>
      </c>
      <c r="F29" s="875">
        <v>2182</v>
      </c>
      <c r="G29" s="796">
        <f t="shared" si="1"/>
        <v>78</v>
      </c>
      <c r="H29" s="875">
        <v>1950</v>
      </c>
      <c r="I29" s="796">
        <f t="shared" si="2"/>
        <v>69.7</v>
      </c>
      <c r="J29" s="875">
        <v>2182</v>
      </c>
      <c r="K29" s="796">
        <f t="shared" si="3"/>
        <v>78</v>
      </c>
      <c r="L29" s="875">
        <v>2182</v>
      </c>
      <c r="M29" s="796">
        <f t="shared" si="4"/>
        <v>78</v>
      </c>
      <c r="N29" s="883">
        <v>2772</v>
      </c>
      <c r="O29" s="875">
        <v>2134</v>
      </c>
      <c r="P29" s="796">
        <f t="shared" si="5"/>
        <v>77</v>
      </c>
      <c r="Q29" s="875">
        <v>2134</v>
      </c>
      <c r="R29" s="796">
        <f t="shared" si="6"/>
        <v>77</v>
      </c>
      <c r="S29" s="875">
        <v>1008</v>
      </c>
      <c r="T29" s="796">
        <f t="shared" si="7"/>
        <v>54</v>
      </c>
      <c r="U29" s="875">
        <v>27</v>
      </c>
      <c r="V29" s="877">
        <f t="shared" si="8"/>
        <v>0.96497498213009292</v>
      </c>
      <c r="W29" s="875">
        <v>85</v>
      </c>
      <c r="X29" s="878">
        <f t="shared" si="9"/>
        <v>3.0663780663780664</v>
      </c>
      <c r="Y29" s="875">
        <v>52</v>
      </c>
      <c r="Z29" s="878">
        <f t="shared" si="10"/>
        <v>1.875901875901876</v>
      </c>
      <c r="AA29" s="879">
        <f t="shared" si="11"/>
        <v>16118</v>
      </c>
      <c r="AB29" s="880">
        <f t="shared" si="12"/>
        <v>1865.3333333333333</v>
      </c>
    </row>
    <row r="30" spans="1:28" ht="14.1" customHeight="1" x14ac:dyDescent="0.2">
      <c r="A30" s="849" t="s">
        <v>268</v>
      </c>
      <c r="B30" s="805" t="s">
        <v>27</v>
      </c>
      <c r="C30" s="874">
        <v>22569</v>
      </c>
      <c r="D30" s="875">
        <v>21479</v>
      </c>
      <c r="E30" s="796">
        <f t="shared" si="0"/>
        <v>95.2</v>
      </c>
      <c r="F30" s="875">
        <v>21495</v>
      </c>
      <c r="G30" s="796">
        <f t="shared" si="1"/>
        <v>95.2</v>
      </c>
      <c r="H30" s="875">
        <v>19460</v>
      </c>
      <c r="I30" s="796">
        <f t="shared" si="2"/>
        <v>86.2</v>
      </c>
      <c r="J30" s="875">
        <v>21495</v>
      </c>
      <c r="K30" s="796">
        <f t="shared" si="3"/>
        <v>95.2</v>
      </c>
      <c r="L30" s="875">
        <v>21495</v>
      </c>
      <c r="M30" s="796">
        <f t="shared" si="4"/>
        <v>95.2</v>
      </c>
      <c r="N30" s="883">
        <v>22505</v>
      </c>
      <c r="O30" s="875">
        <v>22403</v>
      </c>
      <c r="P30" s="796">
        <f t="shared" si="5"/>
        <v>99.5</v>
      </c>
      <c r="Q30" s="875">
        <v>22350</v>
      </c>
      <c r="R30" s="796">
        <f t="shared" si="6"/>
        <v>99.3</v>
      </c>
      <c r="S30" s="875">
        <v>13660</v>
      </c>
      <c r="T30" s="796">
        <f t="shared" si="7"/>
        <v>90.8</v>
      </c>
      <c r="U30" s="875">
        <v>174</v>
      </c>
      <c r="V30" s="877">
        <f t="shared" si="8"/>
        <v>0.77096902831317293</v>
      </c>
      <c r="W30" s="875">
        <v>1141</v>
      </c>
      <c r="X30" s="878">
        <f t="shared" si="9"/>
        <v>5.0699844479004668</v>
      </c>
      <c r="Y30" s="875">
        <v>25</v>
      </c>
      <c r="Z30" s="878">
        <f t="shared" si="10"/>
        <v>0.1110864252388358</v>
      </c>
      <c r="AA30" s="879">
        <f t="shared" si="11"/>
        <v>165177</v>
      </c>
      <c r="AB30" s="880">
        <f t="shared" si="12"/>
        <v>15046</v>
      </c>
    </row>
    <row r="31" spans="1:28" ht="14.1" customHeight="1" x14ac:dyDescent="0.2">
      <c r="A31" s="849" t="s">
        <v>269</v>
      </c>
      <c r="B31" s="805" t="s">
        <v>124</v>
      </c>
      <c r="C31" s="874">
        <v>23492</v>
      </c>
      <c r="D31" s="875">
        <v>22271</v>
      </c>
      <c r="E31" s="796">
        <f t="shared" si="0"/>
        <v>94.8</v>
      </c>
      <c r="F31" s="875">
        <v>22251</v>
      </c>
      <c r="G31" s="796">
        <f t="shared" si="1"/>
        <v>94.7</v>
      </c>
      <c r="H31" s="875">
        <v>16801</v>
      </c>
      <c r="I31" s="796">
        <f t="shared" si="2"/>
        <v>71.5</v>
      </c>
      <c r="J31" s="875">
        <v>22247</v>
      </c>
      <c r="K31" s="796">
        <f t="shared" si="3"/>
        <v>94.7</v>
      </c>
      <c r="L31" s="875">
        <v>22246</v>
      </c>
      <c r="M31" s="796">
        <f t="shared" si="4"/>
        <v>94.7</v>
      </c>
      <c r="N31" s="883">
        <v>22873</v>
      </c>
      <c r="O31" s="875">
        <v>21208</v>
      </c>
      <c r="P31" s="796">
        <f t="shared" si="5"/>
        <v>92.7</v>
      </c>
      <c r="Q31" s="875">
        <v>21261</v>
      </c>
      <c r="R31" s="796">
        <f t="shared" si="6"/>
        <v>93</v>
      </c>
      <c r="S31" s="875">
        <v>7459</v>
      </c>
      <c r="T31" s="796">
        <f t="shared" si="7"/>
        <v>47.6</v>
      </c>
      <c r="U31" s="875">
        <v>305</v>
      </c>
      <c r="V31" s="877">
        <f t="shared" si="8"/>
        <v>1.2983143197684317</v>
      </c>
      <c r="W31" s="875">
        <v>321</v>
      </c>
      <c r="X31" s="878">
        <f t="shared" si="9"/>
        <v>1.4034013902854894</v>
      </c>
      <c r="Y31" s="875">
        <v>160</v>
      </c>
      <c r="Z31" s="878">
        <f t="shared" si="10"/>
        <v>0.69951471166877977</v>
      </c>
      <c r="AA31" s="879">
        <f t="shared" si="11"/>
        <v>156530</v>
      </c>
      <c r="AB31" s="880">
        <f t="shared" si="12"/>
        <v>15661.333333333334</v>
      </c>
    </row>
    <row r="32" spans="1:28" ht="14.1" customHeight="1" x14ac:dyDescent="0.2">
      <c r="A32" s="849" t="s">
        <v>270</v>
      </c>
      <c r="B32" s="805" t="s">
        <v>28</v>
      </c>
      <c r="C32" s="874">
        <v>18510</v>
      </c>
      <c r="D32" s="875">
        <v>18150</v>
      </c>
      <c r="E32" s="796">
        <f t="shared" si="0"/>
        <v>98.1</v>
      </c>
      <c r="F32" s="875">
        <v>18223</v>
      </c>
      <c r="G32" s="796">
        <f t="shared" si="1"/>
        <v>98.4</v>
      </c>
      <c r="H32" s="875">
        <v>17932</v>
      </c>
      <c r="I32" s="796">
        <f t="shared" si="2"/>
        <v>96.9</v>
      </c>
      <c r="J32" s="875">
        <v>18224</v>
      </c>
      <c r="K32" s="796">
        <f t="shared" si="3"/>
        <v>98.5</v>
      </c>
      <c r="L32" s="875">
        <v>18215</v>
      </c>
      <c r="M32" s="796">
        <f t="shared" si="4"/>
        <v>98.4</v>
      </c>
      <c r="N32" s="883">
        <v>18600</v>
      </c>
      <c r="O32" s="875">
        <v>18925</v>
      </c>
      <c r="P32" s="796">
        <f t="shared" si="5"/>
        <v>101.7</v>
      </c>
      <c r="Q32" s="875">
        <v>18781</v>
      </c>
      <c r="R32" s="796">
        <f t="shared" si="6"/>
        <v>101</v>
      </c>
      <c r="S32" s="875">
        <v>11120</v>
      </c>
      <c r="T32" s="796">
        <f t="shared" si="7"/>
        <v>90.1</v>
      </c>
      <c r="U32" s="875">
        <v>360</v>
      </c>
      <c r="V32" s="877">
        <f t="shared" si="8"/>
        <v>1.9448946515397085</v>
      </c>
      <c r="W32" s="875">
        <v>1297</v>
      </c>
      <c r="X32" s="878">
        <f t="shared" si="9"/>
        <v>6.9731182795698929</v>
      </c>
      <c r="Y32" s="875">
        <v>219</v>
      </c>
      <c r="Z32" s="878">
        <f t="shared" si="10"/>
        <v>1.1774193548387097</v>
      </c>
      <c r="AA32" s="879">
        <f t="shared" si="11"/>
        <v>141446</v>
      </c>
      <c r="AB32" s="880">
        <f t="shared" si="12"/>
        <v>12340</v>
      </c>
    </row>
    <row r="33" spans="1:28" ht="14.1" customHeight="1" x14ac:dyDescent="0.2">
      <c r="A33" s="848" t="s">
        <v>271</v>
      </c>
      <c r="B33" s="804" t="s">
        <v>127</v>
      </c>
      <c r="C33" s="874">
        <v>9185</v>
      </c>
      <c r="D33" s="875">
        <v>8407</v>
      </c>
      <c r="E33" s="796">
        <f t="shared" si="0"/>
        <v>91.5</v>
      </c>
      <c r="F33" s="875">
        <v>8312</v>
      </c>
      <c r="G33" s="796">
        <f t="shared" si="1"/>
        <v>90.5</v>
      </c>
      <c r="H33" s="875">
        <v>9518</v>
      </c>
      <c r="I33" s="796">
        <f t="shared" si="2"/>
        <v>103.6</v>
      </c>
      <c r="J33" s="875">
        <v>8267</v>
      </c>
      <c r="K33" s="796">
        <f t="shared" si="3"/>
        <v>90</v>
      </c>
      <c r="L33" s="875">
        <v>8312</v>
      </c>
      <c r="M33" s="796">
        <f t="shared" si="4"/>
        <v>90.5</v>
      </c>
      <c r="N33" s="883">
        <v>9349</v>
      </c>
      <c r="O33" s="875">
        <v>9129</v>
      </c>
      <c r="P33" s="796">
        <f t="shared" si="5"/>
        <v>97.6</v>
      </c>
      <c r="Q33" s="875">
        <v>9154</v>
      </c>
      <c r="R33" s="796">
        <f t="shared" si="6"/>
        <v>97.9</v>
      </c>
      <c r="S33" s="875">
        <v>4273</v>
      </c>
      <c r="T33" s="796">
        <f t="shared" si="7"/>
        <v>69.8</v>
      </c>
      <c r="U33" s="875">
        <v>35</v>
      </c>
      <c r="V33" s="877">
        <f t="shared" si="8"/>
        <v>0.38105606967882416</v>
      </c>
      <c r="W33" s="875">
        <v>92</v>
      </c>
      <c r="X33" s="878">
        <f t="shared" si="9"/>
        <v>0.98406246657396523</v>
      </c>
      <c r="Y33" s="875">
        <v>4</v>
      </c>
      <c r="Z33" s="878">
        <f t="shared" si="10"/>
        <v>4.2785324633650659E-2</v>
      </c>
      <c r="AA33" s="879">
        <f t="shared" si="11"/>
        <v>65503</v>
      </c>
      <c r="AB33" s="880">
        <f t="shared" si="12"/>
        <v>6123.333333333333</v>
      </c>
    </row>
    <row r="34" spans="1:28" ht="14.1" customHeight="1" x14ac:dyDescent="0.2">
      <c r="A34" s="847" t="s">
        <v>272</v>
      </c>
      <c r="B34" s="803" t="s">
        <v>29</v>
      </c>
      <c r="C34" s="874">
        <v>17919</v>
      </c>
      <c r="D34" s="875">
        <v>17083</v>
      </c>
      <c r="E34" s="796">
        <f t="shared" si="0"/>
        <v>95.3</v>
      </c>
      <c r="F34" s="875">
        <v>17081</v>
      </c>
      <c r="G34" s="796">
        <f t="shared" si="1"/>
        <v>95.3</v>
      </c>
      <c r="H34" s="875">
        <v>16871</v>
      </c>
      <c r="I34" s="796">
        <f t="shared" si="2"/>
        <v>94.2</v>
      </c>
      <c r="J34" s="875">
        <v>17089</v>
      </c>
      <c r="K34" s="796">
        <f t="shared" si="3"/>
        <v>95.4</v>
      </c>
      <c r="L34" s="875">
        <v>17081</v>
      </c>
      <c r="M34" s="796">
        <f t="shared" si="4"/>
        <v>95.3</v>
      </c>
      <c r="N34" s="883">
        <v>17857</v>
      </c>
      <c r="O34" s="875">
        <v>17807</v>
      </c>
      <c r="P34" s="796">
        <f t="shared" si="5"/>
        <v>99.7</v>
      </c>
      <c r="Q34" s="875">
        <v>18040</v>
      </c>
      <c r="R34" s="796">
        <f t="shared" si="6"/>
        <v>101</v>
      </c>
      <c r="S34" s="875">
        <v>11500</v>
      </c>
      <c r="T34" s="796">
        <f t="shared" si="7"/>
        <v>96.3</v>
      </c>
      <c r="U34" s="875">
        <v>560</v>
      </c>
      <c r="V34" s="877">
        <f t="shared" si="8"/>
        <v>3.1251743958926279</v>
      </c>
      <c r="W34" s="875">
        <v>670</v>
      </c>
      <c r="X34" s="878">
        <f t="shared" si="9"/>
        <v>3.7520300162401301</v>
      </c>
      <c r="Y34" s="875">
        <v>49</v>
      </c>
      <c r="Z34" s="878">
        <f t="shared" si="10"/>
        <v>0.27440219521756176</v>
      </c>
      <c r="AA34" s="879">
        <f t="shared" si="11"/>
        <v>133831</v>
      </c>
      <c r="AB34" s="880">
        <f t="shared" si="12"/>
        <v>11946</v>
      </c>
    </row>
    <row r="35" spans="1:28" ht="14.1" customHeight="1" x14ac:dyDescent="0.2">
      <c r="A35" s="849" t="s">
        <v>273</v>
      </c>
      <c r="B35" s="805" t="s">
        <v>30</v>
      </c>
      <c r="C35" s="874">
        <v>32725</v>
      </c>
      <c r="D35" s="875">
        <v>23308</v>
      </c>
      <c r="E35" s="796">
        <f t="shared" si="0"/>
        <v>71.2</v>
      </c>
      <c r="F35" s="875">
        <v>23371</v>
      </c>
      <c r="G35" s="796">
        <f t="shared" si="1"/>
        <v>71.400000000000006</v>
      </c>
      <c r="H35" s="875">
        <v>22885</v>
      </c>
      <c r="I35" s="796">
        <f t="shared" si="2"/>
        <v>69.900000000000006</v>
      </c>
      <c r="J35" s="875">
        <v>23320</v>
      </c>
      <c r="K35" s="796">
        <f t="shared" si="3"/>
        <v>71.3</v>
      </c>
      <c r="L35" s="875">
        <v>23277</v>
      </c>
      <c r="M35" s="796">
        <f t="shared" si="4"/>
        <v>71.099999999999994</v>
      </c>
      <c r="N35" s="883">
        <v>32827</v>
      </c>
      <c r="O35" s="875">
        <v>24874</v>
      </c>
      <c r="P35" s="796">
        <f t="shared" si="5"/>
        <v>75.8</v>
      </c>
      <c r="Q35" s="875">
        <v>25606</v>
      </c>
      <c r="R35" s="796">
        <f t="shared" si="6"/>
        <v>78</v>
      </c>
      <c r="S35" s="875">
        <v>15094</v>
      </c>
      <c r="T35" s="796">
        <f t="shared" si="7"/>
        <v>69.2</v>
      </c>
      <c r="U35" s="875">
        <v>484</v>
      </c>
      <c r="V35" s="877">
        <f t="shared" si="8"/>
        <v>1.4789915966386555</v>
      </c>
      <c r="W35" s="875">
        <v>1990</v>
      </c>
      <c r="X35" s="878">
        <f t="shared" si="9"/>
        <v>6.0620830413988482</v>
      </c>
      <c r="Y35" s="875">
        <v>13</v>
      </c>
      <c r="Z35" s="878">
        <f t="shared" si="10"/>
        <v>3.9601547506625645E-2</v>
      </c>
      <c r="AA35" s="879">
        <f t="shared" si="11"/>
        <v>184222</v>
      </c>
      <c r="AB35" s="880">
        <f t="shared" si="12"/>
        <v>21816.666666666668</v>
      </c>
    </row>
    <row r="36" spans="1:28" ht="14.1" customHeight="1" x14ac:dyDescent="0.2">
      <c r="A36" s="851" t="s">
        <v>274</v>
      </c>
      <c r="B36" s="808" t="s">
        <v>125</v>
      </c>
      <c r="C36" s="874">
        <v>25626</v>
      </c>
      <c r="D36" s="875">
        <v>25781</v>
      </c>
      <c r="E36" s="796">
        <f t="shared" si="0"/>
        <v>100.6</v>
      </c>
      <c r="F36" s="875">
        <v>25773</v>
      </c>
      <c r="G36" s="796">
        <f t="shared" si="1"/>
        <v>100.6</v>
      </c>
      <c r="H36" s="875">
        <v>22713</v>
      </c>
      <c r="I36" s="796">
        <f t="shared" si="2"/>
        <v>88.6</v>
      </c>
      <c r="J36" s="875">
        <v>25773</v>
      </c>
      <c r="K36" s="796">
        <f t="shared" si="3"/>
        <v>100.6</v>
      </c>
      <c r="L36" s="875">
        <v>25773</v>
      </c>
      <c r="M36" s="796">
        <f t="shared" si="4"/>
        <v>100.6</v>
      </c>
      <c r="N36" s="883">
        <v>25549</v>
      </c>
      <c r="O36" s="875">
        <v>25849</v>
      </c>
      <c r="P36" s="796">
        <f t="shared" si="5"/>
        <v>101.2</v>
      </c>
      <c r="Q36" s="875">
        <v>25881</v>
      </c>
      <c r="R36" s="796">
        <f t="shared" si="6"/>
        <v>101.3</v>
      </c>
      <c r="S36" s="875">
        <v>12712</v>
      </c>
      <c r="T36" s="796">
        <f t="shared" si="7"/>
        <v>74.400000000000006</v>
      </c>
      <c r="U36" s="875">
        <v>381</v>
      </c>
      <c r="V36" s="877">
        <f t="shared" si="8"/>
        <v>1.4867712479512996</v>
      </c>
      <c r="W36" s="875">
        <v>227</v>
      </c>
      <c r="X36" s="878">
        <f t="shared" si="9"/>
        <v>0.88848878625386507</v>
      </c>
      <c r="Y36" s="875">
        <v>34</v>
      </c>
      <c r="Z36" s="878">
        <f t="shared" si="10"/>
        <v>0.13307761556225292</v>
      </c>
      <c r="AA36" s="879">
        <f t="shared" si="11"/>
        <v>190897</v>
      </c>
      <c r="AB36" s="880">
        <f t="shared" si="12"/>
        <v>17084</v>
      </c>
    </row>
    <row r="37" spans="1:28" ht="14.1" customHeight="1" x14ac:dyDescent="0.2">
      <c r="A37" s="849" t="s">
        <v>275</v>
      </c>
      <c r="B37" s="805" t="s">
        <v>31</v>
      </c>
      <c r="C37" s="874">
        <v>8000</v>
      </c>
      <c r="D37" s="875">
        <v>6779</v>
      </c>
      <c r="E37" s="796">
        <f t="shared" si="0"/>
        <v>84.7</v>
      </c>
      <c r="F37" s="875">
        <v>6854</v>
      </c>
      <c r="G37" s="796">
        <f t="shared" si="1"/>
        <v>85.7</v>
      </c>
      <c r="H37" s="875">
        <v>6210</v>
      </c>
      <c r="I37" s="796">
        <f t="shared" si="2"/>
        <v>77.599999999999994</v>
      </c>
      <c r="J37" s="875">
        <v>6854</v>
      </c>
      <c r="K37" s="796">
        <f t="shared" si="3"/>
        <v>85.7</v>
      </c>
      <c r="L37" s="875">
        <v>6854</v>
      </c>
      <c r="M37" s="796">
        <f t="shared" si="4"/>
        <v>85.7</v>
      </c>
      <c r="N37" s="883">
        <v>7962</v>
      </c>
      <c r="O37" s="875">
        <v>6920</v>
      </c>
      <c r="P37" s="796">
        <f t="shared" si="5"/>
        <v>86.9</v>
      </c>
      <c r="Q37" s="875">
        <v>6932</v>
      </c>
      <c r="R37" s="796">
        <f t="shared" si="6"/>
        <v>87.1</v>
      </c>
      <c r="S37" s="875">
        <v>3331</v>
      </c>
      <c r="T37" s="796">
        <f t="shared" si="7"/>
        <v>62.5</v>
      </c>
      <c r="U37" s="875">
        <v>296</v>
      </c>
      <c r="V37" s="877">
        <f t="shared" si="8"/>
        <v>3.6999999999999997</v>
      </c>
      <c r="W37" s="875">
        <v>560</v>
      </c>
      <c r="X37" s="878">
        <f t="shared" si="9"/>
        <v>7.033408691283598</v>
      </c>
      <c r="Y37" s="875">
        <v>23</v>
      </c>
      <c r="Z37" s="878">
        <f t="shared" si="10"/>
        <v>0.28887214267771916</v>
      </c>
      <c r="AA37" s="879">
        <f t="shared" si="11"/>
        <v>51613</v>
      </c>
      <c r="AB37" s="880">
        <f t="shared" si="12"/>
        <v>5333.333333333333</v>
      </c>
    </row>
    <row r="38" spans="1:28" ht="14.1" customHeight="1" x14ac:dyDescent="0.2">
      <c r="A38" s="847" t="s">
        <v>276</v>
      </c>
      <c r="B38" s="803" t="s">
        <v>145</v>
      </c>
      <c r="C38" s="874">
        <v>9261</v>
      </c>
      <c r="D38" s="875">
        <v>7413</v>
      </c>
      <c r="E38" s="796">
        <f t="shared" si="0"/>
        <v>80</v>
      </c>
      <c r="F38" s="875">
        <v>7404</v>
      </c>
      <c r="G38" s="796">
        <f t="shared" si="1"/>
        <v>79.900000000000006</v>
      </c>
      <c r="H38" s="875">
        <v>6771</v>
      </c>
      <c r="I38" s="796">
        <f t="shared" si="2"/>
        <v>73.099999999999994</v>
      </c>
      <c r="J38" s="875">
        <v>7398</v>
      </c>
      <c r="K38" s="796">
        <f t="shared" si="3"/>
        <v>79.900000000000006</v>
      </c>
      <c r="L38" s="875">
        <v>7398</v>
      </c>
      <c r="M38" s="796">
        <f t="shared" si="4"/>
        <v>79.900000000000006</v>
      </c>
      <c r="N38" s="883">
        <v>9223</v>
      </c>
      <c r="O38" s="875">
        <v>7698</v>
      </c>
      <c r="P38" s="796">
        <f t="shared" si="5"/>
        <v>83.5</v>
      </c>
      <c r="Q38" s="875">
        <v>7871</v>
      </c>
      <c r="R38" s="796">
        <f t="shared" si="6"/>
        <v>85.3</v>
      </c>
      <c r="S38" s="875">
        <v>3881</v>
      </c>
      <c r="T38" s="796">
        <f t="shared" si="7"/>
        <v>62.9</v>
      </c>
      <c r="U38" s="875">
        <v>206</v>
      </c>
      <c r="V38" s="877">
        <f t="shared" si="8"/>
        <v>2.2243818162185511</v>
      </c>
      <c r="W38" s="875">
        <v>45</v>
      </c>
      <c r="X38" s="878">
        <f t="shared" si="9"/>
        <v>0.48791065813726553</v>
      </c>
      <c r="Y38" s="875">
        <v>1</v>
      </c>
      <c r="Z38" s="878">
        <f t="shared" si="10"/>
        <v>1.0842459069717012E-2</v>
      </c>
      <c r="AA38" s="879">
        <f t="shared" si="11"/>
        <v>56086</v>
      </c>
      <c r="AB38" s="880">
        <f t="shared" si="12"/>
        <v>6174</v>
      </c>
    </row>
    <row r="39" spans="1:28" ht="14.1" customHeight="1" x14ac:dyDescent="0.2">
      <c r="A39" s="847" t="s">
        <v>279</v>
      </c>
      <c r="B39" s="803" t="s">
        <v>33</v>
      </c>
      <c r="C39" s="874">
        <v>15450</v>
      </c>
      <c r="D39" s="875">
        <v>12768</v>
      </c>
      <c r="E39" s="796">
        <f t="shared" si="0"/>
        <v>82.6</v>
      </c>
      <c r="F39" s="875">
        <v>12825</v>
      </c>
      <c r="G39" s="796">
        <f t="shared" si="1"/>
        <v>83</v>
      </c>
      <c r="H39" s="875">
        <v>13200</v>
      </c>
      <c r="I39" s="796">
        <f t="shared" si="2"/>
        <v>85.4</v>
      </c>
      <c r="J39" s="875">
        <v>12825</v>
      </c>
      <c r="K39" s="796">
        <f t="shared" si="3"/>
        <v>83</v>
      </c>
      <c r="L39" s="875">
        <v>12825</v>
      </c>
      <c r="M39" s="796">
        <f t="shared" si="4"/>
        <v>83</v>
      </c>
      <c r="N39" s="883">
        <v>15390</v>
      </c>
      <c r="O39" s="875">
        <v>12877</v>
      </c>
      <c r="P39" s="796">
        <f t="shared" si="5"/>
        <v>83.7</v>
      </c>
      <c r="Q39" s="875">
        <v>12689</v>
      </c>
      <c r="R39" s="796">
        <f t="shared" si="6"/>
        <v>82.4</v>
      </c>
      <c r="S39" s="875">
        <v>7131</v>
      </c>
      <c r="T39" s="796">
        <f t="shared" si="7"/>
        <v>69.2</v>
      </c>
      <c r="U39" s="875">
        <v>150</v>
      </c>
      <c r="V39" s="877">
        <f t="shared" si="8"/>
        <v>0.97087378640776689</v>
      </c>
      <c r="W39" s="875">
        <v>222</v>
      </c>
      <c r="X39" s="878">
        <f t="shared" si="9"/>
        <v>1.4424951267056529</v>
      </c>
      <c r="Y39" s="875">
        <v>80</v>
      </c>
      <c r="Z39" s="878">
        <f t="shared" si="10"/>
        <v>0.51981806367771277</v>
      </c>
      <c r="AA39" s="879">
        <f t="shared" si="11"/>
        <v>97592</v>
      </c>
      <c r="AB39" s="880">
        <f t="shared" si="12"/>
        <v>10300</v>
      </c>
    </row>
    <row r="40" spans="1:28" ht="14.1" customHeight="1" x14ac:dyDescent="0.2">
      <c r="A40" s="847" t="s">
        <v>278</v>
      </c>
      <c r="B40" s="803" t="s">
        <v>126</v>
      </c>
      <c r="C40" s="874">
        <v>1283</v>
      </c>
      <c r="D40" s="875">
        <v>923</v>
      </c>
      <c r="E40" s="796">
        <f t="shared" si="0"/>
        <v>71.900000000000006</v>
      </c>
      <c r="F40" s="875">
        <v>919</v>
      </c>
      <c r="G40" s="796">
        <f t="shared" si="1"/>
        <v>71.599999999999994</v>
      </c>
      <c r="H40" s="875">
        <v>887</v>
      </c>
      <c r="I40" s="796">
        <f t="shared" si="2"/>
        <v>69.099999999999994</v>
      </c>
      <c r="J40" s="875">
        <v>919</v>
      </c>
      <c r="K40" s="796">
        <f t="shared" si="3"/>
        <v>71.599999999999994</v>
      </c>
      <c r="L40" s="875">
        <v>919</v>
      </c>
      <c r="M40" s="796">
        <f t="shared" si="4"/>
        <v>71.599999999999994</v>
      </c>
      <c r="N40" s="883">
        <v>1275</v>
      </c>
      <c r="O40" s="875">
        <v>959</v>
      </c>
      <c r="P40" s="796">
        <f t="shared" si="5"/>
        <v>75.2</v>
      </c>
      <c r="Q40" s="875">
        <v>968</v>
      </c>
      <c r="R40" s="796">
        <f t="shared" si="6"/>
        <v>75.900000000000006</v>
      </c>
      <c r="S40" s="875">
        <v>547</v>
      </c>
      <c r="T40" s="796">
        <f t="shared" si="7"/>
        <v>64</v>
      </c>
      <c r="U40" s="875">
        <v>15</v>
      </c>
      <c r="V40" s="877">
        <f t="shared" si="8"/>
        <v>1.1691348402182384</v>
      </c>
      <c r="W40" s="875">
        <v>4</v>
      </c>
      <c r="X40" s="878">
        <f t="shared" si="9"/>
        <v>0.31372549019607843</v>
      </c>
      <c r="Y40" s="875">
        <v>8</v>
      </c>
      <c r="Z40" s="878">
        <f t="shared" si="10"/>
        <v>0.62745098039215685</v>
      </c>
      <c r="AA40" s="879">
        <f t="shared" si="11"/>
        <v>7068</v>
      </c>
      <c r="AB40" s="880">
        <f t="shared" si="12"/>
        <v>855.33333333333337</v>
      </c>
    </row>
    <row r="41" spans="1:28" ht="14.1" customHeight="1" x14ac:dyDescent="0.2">
      <c r="A41" s="847" t="s">
        <v>277</v>
      </c>
      <c r="B41" s="803" t="s">
        <v>35</v>
      </c>
      <c r="C41" s="874">
        <v>34278</v>
      </c>
      <c r="D41" s="875">
        <v>33234</v>
      </c>
      <c r="E41" s="796">
        <f t="shared" si="0"/>
        <v>97</v>
      </c>
      <c r="F41" s="875">
        <v>33117</v>
      </c>
      <c r="G41" s="796">
        <f t="shared" si="1"/>
        <v>96.6</v>
      </c>
      <c r="H41" s="875">
        <v>30419</v>
      </c>
      <c r="I41" s="796">
        <f t="shared" si="2"/>
        <v>88.7</v>
      </c>
      <c r="J41" s="875">
        <v>33197</v>
      </c>
      <c r="K41" s="796">
        <f t="shared" si="3"/>
        <v>96.8</v>
      </c>
      <c r="L41" s="875">
        <v>32938</v>
      </c>
      <c r="M41" s="796">
        <f t="shared" si="4"/>
        <v>96.1</v>
      </c>
      <c r="N41" s="883">
        <v>34111</v>
      </c>
      <c r="O41" s="875">
        <v>35133</v>
      </c>
      <c r="P41" s="796">
        <f t="shared" si="5"/>
        <v>103</v>
      </c>
      <c r="Q41" s="875">
        <v>35169</v>
      </c>
      <c r="R41" s="796">
        <f t="shared" si="6"/>
        <v>103.1</v>
      </c>
      <c r="S41" s="875">
        <v>21042</v>
      </c>
      <c r="T41" s="796">
        <f t="shared" si="7"/>
        <v>92.1</v>
      </c>
      <c r="U41" s="875">
        <v>3863</v>
      </c>
      <c r="V41" s="877">
        <f t="shared" si="8"/>
        <v>11.269618997607795</v>
      </c>
      <c r="W41" s="875">
        <v>2309</v>
      </c>
      <c r="X41" s="878">
        <f t="shared" si="9"/>
        <v>6.7690774237049629</v>
      </c>
      <c r="Y41" s="875">
        <v>2289</v>
      </c>
      <c r="Z41" s="878">
        <f t="shared" si="10"/>
        <v>6.7104453108967785</v>
      </c>
      <c r="AA41" s="879">
        <f t="shared" si="11"/>
        <v>262710</v>
      </c>
      <c r="AB41" s="880">
        <f t="shared" si="12"/>
        <v>22852</v>
      </c>
    </row>
    <row r="42" spans="1:28" ht="14.1" customHeight="1" x14ac:dyDescent="0.2">
      <c r="A42" s="847" t="s">
        <v>280</v>
      </c>
      <c r="B42" s="803" t="s">
        <v>36</v>
      </c>
      <c r="C42" s="874">
        <v>16929</v>
      </c>
      <c r="D42" s="875">
        <v>17062</v>
      </c>
      <c r="E42" s="796">
        <f t="shared" si="0"/>
        <v>100.8</v>
      </c>
      <c r="F42" s="875">
        <v>17062</v>
      </c>
      <c r="G42" s="796">
        <f t="shared" si="1"/>
        <v>100.8</v>
      </c>
      <c r="H42" s="875">
        <v>16920</v>
      </c>
      <c r="I42" s="796">
        <f t="shared" si="2"/>
        <v>99.9</v>
      </c>
      <c r="J42" s="875">
        <v>17062</v>
      </c>
      <c r="K42" s="796">
        <f t="shared" si="3"/>
        <v>100.8</v>
      </c>
      <c r="L42" s="875">
        <v>17062</v>
      </c>
      <c r="M42" s="796">
        <f t="shared" si="4"/>
        <v>100.8</v>
      </c>
      <c r="N42" s="883">
        <v>16856</v>
      </c>
      <c r="O42" s="875">
        <v>17852</v>
      </c>
      <c r="P42" s="796">
        <f t="shared" si="5"/>
        <v>105.9</v>
      </c>
      <c r="Q42" s="875">
        <v>17991</v>
      </c>
      <c r="R42" s="796">
        <f t="shared" si="6"/>
        <v>106.7</v>
      </c>
      <c r="S42" s="875">
        <v>10027</v>
      </c>
      <c r="T42" s="796">
        <f t="shared" si="7"/>
        <v>88.8</v>
      </c>
      <c r="U42" s="875">
        <v>365</v>
      </c>
      <c r="V42" s="877">
        <f t="shared" si="8"/>
        <v>2.1560635595723316</v>
      </c>
      <c r="W42" s="875">
        <v>916</v>
      </c>
      <c r="X42" s="878">
        <f t="shared" si="9"/>
        <v>5.4342667299477929</v>
      </c>
      <c r="Y42" s="875">
        <v>123</v>
      </c>
      <c r="Z42" s="878">
        <f t="shared" si="10"/>
        <v>0.72971048884670153</v>
      </c>
      <c r="AA42" s="879">
        <f t="shared" si="11"/>
        <v>132442</v>
      </c>
      <c r="AB42" s="880">
        <f t="shared" si="12"/>
        <v>11286</v>
      </c>
    </row>
    <row r="43" spans="1:28" ht="14.1" customHeight="1" x14ac:dyDescent="0.2">
      <c r="A43" s="847" t="s">
        <v>281</v>
      </c>
      <c r="B43" s="803" t="s">
        <v>37</v>
      </c>
      <c r="C43" s="874">
        <v>25926</v>
      </c>
      <c r="D43" s="875">
        <v>23738</v>
      </c>
      <c r="E43" s="796">
        <f t="shared" si="0"/>
        <v>91.6</v>
      </c>
      <c r="F43" s="875">
        <v>23771</v>
      </c>
      <c r="G43" s="796">
        <f t="shared" si="1"/>
        <v>91.7</v>
      </c>
      <c r="H43" s="875">
        <v>24122</v>
      </c>
      <c r="I43" s="796">
        <f t="shared" si="2"/>
        <v>93</v>
      </c>
      <c r="J43" s="875">
        <v>23771</v>
      </c>
      <c r="K43" s="796">
        <f t="shared" si="3"/>
        <v>91.7</v>
      </c>
      <c r="L43" s="875">
        <v>23771</v>
      </c>
      <c r="M43" s="796">
        <f t="shared" si="4"/>
        <v>91.7</v>
      </c>
      <c r="N43" s="883">
        <v>26162</v>
      </c>
      <c r="O43" s="875">
        <v>24922</v>
      </c>
      <c r="P43" s="796">
        <f t="shared" si="5"/>
        <v>95.3</v>
      </c>
      <c r="Q43" s="875">
        <v>25134</v>
      </c>
      <c r="R43" s="796">
        <f t="shared" si="6"/>
        <v>96.1</v>
      </c>
      <c r="S43" s="875">
        <v>14297</v>
      </c>
      <c r="T43" s="796">
        <f t="shared" si="7"/>
        <v>82.7</v>
      </c>
      <c r="U43" s="875">
        <v>920</v>
      </c>
      <c r="V43" s="877">
        <f t="shared" si="8"/>
        <v>3.5485612898248862</v>
      </c>
      <c r="W43" s="875">
        <v>1717</v>
      </c>
      <c r="X43" s="878">
        <f t="shared" si="9"/>
        <v>6.562953902606834</v>
      </c>
      <c r="Y43" s="875">
        <v>1565</v>
      </c>
      <c r="Z43" s="878">
        <f t="shared" si="10"/>
        <v>5.9819585658588794</v>
      </c>
      <c r="AA43" s="879">
        <f t="shared" si="11"/>
        <v>187728</v>
      </c>
      <c r="AB43" s="880">
        <f t="shared" si="12"/>
        <v>17284</v>
      </c>
    </row>
    <row r="44" spans="1:28" ht="14.1" customHeight="1" x14ac:dyDescent="0.2">
      <c r="A44" s="849" t="s">
        <v>282</v>
      </c>
      <c r="B44" s="805" t="s">
        <v>38</v>
      </c>
      <c r="C44" s="874">
        <v>72956</v>
      </c>
      <c r="D44" s="875">
        <v>72134</v>
      </c>
      <c r="E44" s="796">
        <f t="shared" si="0"/>
        <v>98.9</v>
      </c>
      <c r="F44" s="875">
        <v>71961</v>
      </c>
      <c r="G44" s="796">
        <f t="shared" si="1"/>
        <v>98.6</v>
      </c>
      <c r="H44" s="875">
        <v>66609</v>
      </c>
      <c r="I44" s="796">
        <f t="shared" si="2"/>
        <v>91.3</v>
      </c>
      <c r="J44" s="875">
        <v>71911</v>
      </c>
      <c r="K44" s="796">
        <f t="shared" si="3"/>
        <v>98.6</v>
      </c>
      <c r="L44" s="875">
        <v>71881</v>
      </c>
      <c r="M44" s="796">
        <f t="shared" si="4"/>
        <v>98.5</v>
      </c>
      <c r="N44" s="883">
        <v>72299</v>
      </c>
      <c r="O44" s="875">
        <v>70341</v>
      </c>
      <c r="P44" s="796">
        <f t="shared" si="5"/>
        <v>97.3</v>
      </c>
      <c r="Q44" s="875">
        <v>69898</v>
      </c>
      <c r="R44" s="796">
        <f t="shared" si="6"/>
        <v>96.7</v>
      </c>
      <c r="S44" s="875">
        <v>35241</v>
      </c>
      <c r="T44" s="796">
        <f t="shared" si="7"/>
        <v>72.5</v>
      </c>
      <c r="U44" s="875">
        <v>3246</v>
      </c>
      <c r="V44" s="877">
        <f t="shared" si="8"/>
        <v>4.4492570864630734</v>
      </c>
      <c r="W44" s="875">
        <v>1991</v>
      </c>
      <c r="X44" s="878">
        <f t="shared" si="9"/>
        <v>2.7538416852238621</v>
      </c>
      <c r="Y44" s="875">
        <v>1155</v>
      </c>
      <c r="Z44" s="878">
        <f t="shared" si="10"/>
        <v>1.5975324693287596</v>
      </c>
      <c r="AA44" s="879">
        <f t="shared" si="11"/>
        <v>536368</v>
      </c>
      <c r="AB44" s="880">
        <f t="shared" si="12"/>
        <v>48637.333333333336</v>
      </c>
    </row>
    <row r="45" spans="1:28" ht="14.1" customHeight="1" x14ac:dyDescent="0.2">
      <c r="A45" s="849" t="s">
        <v>283</v>
      </c>
      <c r="B45" s="805" t="s">
        <v>128</v>
      </c>
      <c r="C45" s="874">
        <v>1248</v>
      </c>
      <c r="D45" s="875">
        <v>940</v>
      </c>
      <c r="E45" s="796">
        <f t="shared" si="0"/>
        <v>75.3</v>
      </c>
      <c r="F45" s="875">
        <v>939</v>
      </c>
      <c r="G45" s="796">
        <f t="shared" si="1"/>
        <v>75.2</v>
      </c>
      <c r="H45" s="875">
        <v>892</v>
      </c>
      <c r="I45" s="796">
        <f t="shared" si="2"/>
        <v>71.5</v>
      </c>
      <c r="J45" s="875">
        <v>939</v>
      </c>
      <c r="K45" s="796">
        <f t="shared" si="3"/>
        <v>75.2</v>
      </c>
      <c r="L45" s="875">
        <v>939</v>
      </c>
      <c r="M45" s="796">
        <f t="shared" si="4"/>
        <v>75.2</v>
      </c>
      <c r="N45" s="883">
        <v>1219</v>
      </c>
      <c r="O45" s="875">
        <v>840</v>
      </c>
      <c r="P45" s="796">
        <f t="shared" si="5"/>
        <v>68.900000000000006</v>
      </c>
      <c r="Q45" s="875">
        <v>811</v>
      </c>
      <c r="R45" s="796">
        <f t="shared" si="6"/>
        <v>66.5</v>
      </c>
      <c r="S45" s="875">
        <v>286</v>
      </c>
      <c r="T45" s="796">
        <f t="shared" si="7"/>
        <v>34.4</v>
      </c>
      <c r="U45" s="875">
        <v>13</v>
      </c>
      <c r="V45" s="877">
        <f t="shared" si="8"/>
        <v>1.0416666666666665</v>
      </c>
      <c r="W45" s="875">
        <v>12</v>
      </c>
      <c r="X45" s="878">
        <f t="shared" si="9"/>
        <v>0.98441345365053323</v>
      </c>
      <c r="Y45" s="875">
        <v>1</v>
      </c>
      <c r="Z45" s="878">
        <f t="shared" si="10"/>
        <v>8.2034454470877774E-2</v>
      </c>
      <c r="AA45" s="879">
        <f t="shared" si="11"/>
        <v>6612</v>
      </c>
      <c r="AB45" s="880">
        <f t="shared" si="12"/>
        <v>832</v>
      </c>
    </row>
    <row r="46" spans="1:28" ht="14.1" customHeight="1" thickBot="1" x14ac:dyDescent="0.25">
      <c r="A46" s="852" t="s">
        <v>284</v>
      </c>
      <c r="B46" s="817" t="s">
        <v>40</v>
      </c>
      <c r="C46" s="886">
        <v>1898</v>
      </c>
      <c r="D46" s="875">
        <v>844</v>
      </c>
      <c r="E46" s="811">
        <f t="shared" si="0"/>
        <v>44.5</v>
      </c>
      <c r="F46" s="875">
        <v>845</v>
      </c>
      <c r="G46" s="811">
        <f t="shared" si="1"/>
        <v>44.5</v>
      </c>
      <c r="H46" s="875">
        <v>1082</v>
      </c>
      <c r="I46" s="811">
        <f t="shared" si="2"/>
        <v>57</v>
      </c>
      <c r="J46" s="875">
        <v>844</v>
      </c>
      <c r="K46" s="811">
        <f t="shared" si="3"/>
        <v>44.5</v>
      </c>
      <c r="L46" s="875">
        <v>842</v>
      </c>
      <c r="M46" s="811">
        <f t="shared" si="4"/>
        <v>44.4</v>
      </c>
      <c r="N46" s="887">
        <v>1858</v>
      </c>
      <c r="O46" s="875">
        <v>1377</v>
      </c>
      <c r="P46" s="796">
        <f t="shared" si="5"/>
        <v>74.099999999999994</v>
      </c>
      <c r="Q46" s="875">
        <v>1085</v>
      </c>
      <c r="R46" s="796">
        <f t="shared" si="6"/>
        <v>58.4</v>
      </c>
      <c r="S46" s="875">
        <v>443</v>
      </c>
      <c r="T46" s="796">
        <f t="shared" si="7"/>
        <v>35</v>
      </c>
      <c r="U46" s="875">
        <v>14</v>
      </c>
      <c r="V46" s="888">
        <f t="shared" si="8"/>
        <v>0.7376185458377239</v>
      </c>
      <c r="W46" s="875">
        <v>15</v>
      </c>
      <c r="X46" s="889">
        <f t="shared" si="9"/>
        <v>0.80731969860064579</v>
      </c>
      <c r="Y46" s="875">
        <v>4</v>
      </c>
      <c r="Z46" s="889">
        <f t="shared" si="10"/>
        <v>0.2152852529601722</v>
      </c>
      <c r="AA46" s="879">
        <f t="shared" si="11"/>
        <v>7395</v>
      </c>
      <c r="AB46" s="880">
        <f t="shared" si="12"/>
        <v>1265.3333333333333</v>
      </c>
    </row>
    <row r="47" spans="1:28" ht="12.75" thickBot="1" x14ac:dyDescent="0.25">
      <c r="A47" s="890"/>
      <c r="B47" s="890" t="s">
        <v>41</v>
      </c>
      <c r="C47" s="891">
        <f>SUM(C11:C46)</f>
        <v>858137</v>
      </c>
      <c r="D47" s="892">
        <f>SUM(D11:D46)</f>
        <v>790655</v>
      </c>
      <c r="E47" s="811">
        <f t="shared" si="0"/>
        <v>92.1</v>
      </c>
      <c r="F47" s="892">
        <f>SUM(F11:F46)</f>
        <v>791476</v>
      </c>
      <c r="G47" s="811">
        <f t="shared" si="1"/>
        <v>92.2</v>
      </c>
      <c r="H47" s="892">
        <f>SUM(H11:H46)</f>
        <v>773709</v>
      </c>
      <c r="I47" s="811">
        <f t="shared" si="2"/>
        <v>90.2</v>
      </c>
      <c r="J47" s="892">
        <f>SUM(J11:J46)</f>
        <v>790842</v>
      </c>
      <c r="K47" s="811">
        <f t="shared" si="3"/>
        <v>92.2</v>
      </c>
      <c r="L47" s="892">
        <f>SUM(L11:L46)</f>
        <v>790859</v>
      </c>
      <c r="M47" s="811">
        <f t="shared" si="4"/>
        <v>92.2</v>
      </c>
      <c r="N47" s="891">
        <f>SUM(N11:N46)</f>
        <v>856066</v>
      </c>
      <c r="O47" s="893">
        <f>SUM(O11:O46)</f>
        <v>814739</v>
      </c>
      <c r="P47" s="796">
        <f t="shared" si="5"/>
        <v>95.2</v>
      </c>
      <c r="Q47" s="893">
        <f>SUM(Q11:Q46)</f>
        <v>817145</v>
      </c>
      <c r="R47" s="796">
        <f t="shared" si="6"/>
        <v>95.5</v>
      </c>
      <c r="S47" s="893">
        <f>SUM(S11:S46)</f>
        <v>471624</v>
      </c>
      <c r="T47" s="796">
        <f t="shared" si="7"/>
        <v>82.4</v>
      </c>
      <c r="U47" s="893">
        <f>SUM(U11:U46)</f>
        <v>139581</v>
      </c>
      <c r="V47" s="894">
        <f t="shared" si="8"/>
        <v>16.265584632756774</v>
      </c>
      <c r="W47" s="893">
        <f>SUM(W11:W46)</f>
        <v>24827</v>
      </c>
      <c r="X47" s="895">
        <f t="shared" si="9"/>
        <v>2.9001268593776648</v>
      </c>
      <c r="Y47" s="893">
        <f>SUM(Y11:Y46)</f>
        <v>12152</v>
      </c>
      <c r="Z47" s="895">
        <f t="shared" si="10"/>
        <v>1.4195167195052718</v>
      </c>
      <c r="AA47" s="896">
        <f>SUM(AA11:AA46)</f>
        <v>6217609</v>
      </c>
      <c r="AB47" s="922">
        <f t="shared" si="12"/>
        <v>572091.33333333337</v>
      </c>
    </row>
    <row r="48" spans="1:28" x14ac:dyDescent="0.2">
      <c r="A48" s="897"/>
      <c r="B48" s="897" t="s">
        <v>146</v>
      </c>
      <c r="C48" s="898"/>
      <c r="D48" s="899" t="s">
        <v>212</v>
      </c>
      <c r="E48" s="900"/>
      <c r="F48" s="901"/>
      <c r="G48" s="902"/>
      <c r="H48" s="901"/>
      <c r="I48" s="902"/>
      <c r="J48" s="901"/>
      <c r="K48" s="902"/>
      <c r="L48" s="900"/>
      <c r="M48" s="902"/>
      <c r="N48" s="901"/>
      <c r="O48" s="900"/>
      <c r="P48" s="902"/>
      <c r="Q48" s="902"/>
      <c r="R48" s="902"/>
    </row>
    <row r="49" spans="1:12" x14ac:dyDescent="0.2">
      <c r="B49" s="873" t="s">
        <v>147</v>
      </c>
      <c r="C49" s="898"/>
      <c r="D49" s="903">
        <v>40241</v>
      </c>
      <c r="L49" s="897"/>
    </row>
    <row r="50" spans="1:12" x14ac:dyDescent="0.2">
      <c r="A50" s="861"/>
      <c r="B50" s="861" t="s">
        <v>206</v>
      </c>
    </row>
  </sheetData>
  <conditionalFormatting sqref="E11:E47 G11:G47 I11:I47 K11:K47 M11:M47 P11:P47 R11:R47 T11:T47">
    <cfRule type="cellIs" dxfId="755" priority="1" stopIfTrue="1" operator="between">
      <formula>0.01</formula>
      <formula>49.9</formula>
    </cfRule>
    <cfRule type="cellIs" dxfId="754" priority="2" stopIfTrue="1" operator="between">
      <formula>50</formula>
      <formula>79.9</formula>
    </cfRule>
    <cfRule type="cellIs" dxfId="753" priority="3" stopIfTrue="1" operator="between">
      <formula>80</formula>
      <formula>94.9</formula>
    </cfRule>
    <cfRule type="cellIs" dxfId="752" priority="4" stopIfTrue="1" operator="greaterThanOrEqual">
      <formula>95</formula>
    </cfRule>
  </conditionalFormatting>
  <printOptions verticalCentered="1"/>
  <pageMargins left="0.98425196850393704" right="0.19685039370078741" top="0.98425196850393704" bottom="0.55118110236220474" header="0" footer="0.31496062992125984"/>
  <pageSetup paperSize="5" scale="78" orientation="landscape" verticalDpi="300" r:id="rId1"/>
  <headerFooter alignWithMargins="0">
    <oddHeader>&amp;L         &amp;G&amp;C&amp;"Arial,Negrita"Ministerio de la Protección Social
República de Colombia
Dirección General de Salud Pública
Programa Ampliado de Inmunizaciones - PAI
COBERTURAS  DE VACUNACION POR BIOLOGICO Y DEPARTAMENTO ** DICIEMBRE 2009&amp;R&amp;G       .</oddHeader>
    <oddFooter xml:space="preserve">&amp;L      Página &amp;P&amp;C** &amp;F **&amp;RFecha &amp;D ** </oddFooter>
  </headerFooter>
  <drawing r:id="rId2"/>
  <legacyDrawingHF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CC"/>
  </sheetPr>
  <dimension ref="A5:AN71"/>
  <sheetViews>
    <sheetView tabSelected="1" zoomScale="90" zoomScaleNormal="90" workbookViewId="0">
      <pane xSplit="2" ySplit="9" topLeftCell="C10" activePane="bottomRight" state="frozen"/>
      <selection activeCell="A4" sqref="A4"/>
      <selection pane="topRight" activeCell="A4" sqref="A4"/>
      <selection pane="bottomLeft" activeCell="A4" sqref="A4"/>
      <selection pane="bottomRight" activeCell="C10" sqref="C10"/>
    </sheetView>
  </sheetViews>
  <sheetFormatPr baseColWidth="10" defaultColWidth="11" defaultRowHeight="12" x14ac:dyDescent="0.2"/>
  <cols>
    <col min="1" max="1" width="7.5703125" style="844" bestFit="1" customWidth="1"/>
    <col min="2" max="2" width="22.85546875" style="844" customWidth="1"/>
    <col min="3" max="3" width="11" style="844" customWidth="1"/>
    <col min="4" max="4" width="11.7109375" style="844" customWidth="1"/>
    <col min="5" max="5" width="7.7109375" style="844" customWidth="1"/>
    <col min="6" max="6" width="11.7109375" style="844" customWidth="1"/>
    <col min="7" max="7" width="7.7109375" style="844" customWidth="1"/>
    <col min="8" max="8" width="11.7109375" style="844" customWidth="1"/>
    <col min="9" max="9" width="7.7109375" style="844" customWidth="1"/>
    <col min="10" max="10" width="11.7109375" style="844" customWidth="1"/>
    <col min="11" max="11" width="7.7109375" style="844" customWidth="1"/>
    <col min="12" max="12" width="11.7109375" style="844" customWidth="1"/>
    <col min="13" max="13" width="7.7109375" style="844" customWidth="1"/>
    <col min="14" max="14" width="11.7109375" style="844" customWidth="1"/>
    <col min="15" max="15" width="7.7109375" style="844" customWidth="1"/>
    <col min="16" max="16" width="9.5703125" style="844" bestFit="1" customWidth="1"/>
    <col min="17" max="17" width="11.7109375" style="844" customWidth="1"/>
    <col min="18" max="18" width="7.7109375" style="844" customWidth="1"/>
    <col min="19" max="19" width="11.7109375" style="844" customWidth="1"/>
    <col min="20" max="20" width="7.7109375" style="844" customWidth="1"/>
    <col min="21" max="21" width="11.7109375" style="844" customWidth="1"/>
    <col min="22" max="22" width="9.7109375" style="844" customWidth="1"/>
    <col min="23" max="23" width="11.7109375" style="844" customWidth="1"/>
    <col min="24" max="24" width="9.7109375" style="844" customWidth="1"/>
    <col min="25" max="27" width="11.7109375" style="844" customWidth="1"/>
    <col min="28" max="28" width="7.7109375" style="844" customWidth="1"/>
    <col min="29" max="29" width="11.7109375" style="844" customWidth="1"/>
    <col min="30" max="30" width="7.7109375" style="844" customWidth="1"/>
    <col min="31" max="31" width="11.7109375" style="844" customWidth="1"/>
    <col min="32" max="32" width="7.7109375" style="844" customWidth="1"/>
    <col min="33" max="33" width="11.7109375" style="844" customWidth="1"/>
    <col min="34" max="34" width="7.7109375" style="844" customWidth="1"/>
    <col min="35" max="35" width="11.7109375" style="844" customWidth="1"/>
    <col min="36" max="36" width="7.7109375" style="844" customWidth="1"/>
    <col min="37" max="37" width="11.5703125" style="844" bestFit="1" customWidth="1"/>
    <col min="38" max="38" width="9.7109375" style="844" customWidth="1"/>
    <col min="39" max="39" width="11.85546875" style="844" bestFit="1" customWidth="1"/>
    <col min="40" max="40" width="0" style="844" hidden="1" customWidth="1"/>
    <col min="41" max="16384" width="11" style="844"/>
  </cols>
  <sheetData>
    <row r="5" spans="1:40" x14ac:dyDescent="0.2">
      <c r="A5" s="702" t="s">
        <v>305</v>
      </c>
      <c r="C5" s="753" t="s">
        <v>313</v>
      </c>
    </row>
    <row r="6" spans="1:40" x14ac:dyDescent="0.2">
      <c r="A6" s="702" t="s">
        <v>306</v>
      </c>
      <c r="C6" s="776">
        <v>40553</v>
      </c>
    </row>
    <row r="7" spans="1:40" x14ac:dyDescent="0.2">
      <c r="A7" s="702" t="s">
        <v>307</v>
      </c>
      <c r="C7" s="766" t="s">
        <v>312</v>
      </c>
    </row>
    <row r="8" spans="1:40" ht="12.75" thickBot="1" x14ac:dyDescent="0.25">
      <c r="A8" s="702"/>
    </row>
    <row r="9" spans="1:40" s="872" customFormat="1" ht="59.25" customHeight="1" thickBot="1" x14ac:dyDescent="0.25">
      <c r="A9" s="659" t="s">
        <v>140</v>
      </c>
      <c r="B9" s="834" t="s">
        <v>210</v>
      </c>
      <c r="C9" s="869" t="s">
        <v>289</v>
      </c>
      <c r="D9" s="661" t="s">
        <v>158</v>
      </c>
      <c r="E9" s="662" t="s">
        <v>159</v>
      </c>
      <c r="F9" s="667" t="s">
        <v>237</v>
      </c>
      <c r="G9" s="668" t="s">
        <v>164</v>
      </c>
      <c r="H9" s="621" t="s">
        <v>165</v>
      </c>
      <c r="I9" s="670" t="s">
        <v>166</v>
      </c>
      <c r="J9" s="843" t="s">
        <v>167</v>
      </c>
      <c r="K9" s="668" t="s">
        <v>168</v>
      </c>
      <c r="L9" s="667" t="s">
        <v>169</v>
      </c>
      <c r="M9" s="668" t="s">
        <v>209</v>
      </c>
      <c r="N9" s="675" t="s">
        <v>172</v>
      </c>
      <c r="O9" s="676" t="s">
        <v>173</v>
      </c>
      <c r="P9" s="870" t="s">
        <v>290</v>
      </c>
      <c r="Q9" s="681" t="s">
        <v>177</v>
      </c>
      <c r="R9" s="682" t="s">
        <v>178</v>
      </c>
      <c r="S9" s="683" t="s">
        <v>179</v>
      </c>
      <c r="T9" s="684" t="s">
        <v>180</v>
      </c>
      <c r="U9" s="687" t="s">
        <v>183</v>
      </c>
      <c r="V9" s="688" t="s">
        <v>184</v>
      </c>
      <c r="W9" s="685" t="s">
        <v>185</v>
      </c>
      <c r="X9" s="689" t="s">
        <v>186</v>
      </c>
      <c r="Y9" s="689" t="s">
        <v>189</v>
      </c>
      <c r="Z9" s="686" t="s">
        <v>190</v>
      </c>
      <c r="AA9" s="691" t="s">
        <v>191</v>
      </c>
      <c r="AB9" s="662" t="s">
        <v>192</v>
      </c>
      <c r="AC9" s="692" t="s">
        <v>193</v>
      </c>
      <c r="AD9" s="693" t="s">
        <v>194</v>
      </c>
      <c r="AE9" s="691" t="s">
        <v>195</v>
      </c>
      <c r="AF9" s="662" t="s">
        <v>196</v>
      </c>
      <c r="AG9" s="695" t="s">
        <v>197</v>
      </c>
      <c r="AH9" s="696" t="s">
        <v>198</v>
      </c>
      <c r="AI9" s="697" t="s">
        <v>199</v>
      </c>
      <c r="AJ9" s="871" t="s">
        <v>200</v>
      </c>
      <c r="AK9" s="2008" t="s">
        <v>528</v>
      </c>
    </row>
    <row r="10" spans="1:40" ht="15.75" customHeight="1" x14ac:dyDescent="0.25">
      <c r="A10" s="845">
        <v>91</v>
      </c>
      <c r="B10" s="157" t="s">
        <v>12</v>
      </c>
      <c r="C10" s="617">
        <v>2119</v>
      </c>
      <c r="D10" s="165">
        <v>1666</v>
      </c>
      <c r="E10" s="786">
        <f t="shared" ref="E10:E45" si="0">ROUND(D10/$C10*100,1)</f>
        <v>78.599999999999994</v>
      </c>
      <c r="F10" s="165">
        <v>1666</v>
      </c>
      <c r="G10" s="786">
        <f t="shared" ref="G10:G45" si="1">ROUND(F10/$C10*100,1)</f>
        <v>78.599999999999994</v>
      </c>
      <c r="H10" s="165">
        <v>1682</v>
      </c>
      <c r="I10" s="786">
        <f t="shared" ref="I10:I45" si="2">ROUND(H10/$C10*100,1)</f>
        <v>79.400000000000006</v>
      </c>
      <c r="J10" s="165">
        <v>1666</v>
      </c>
      <c r="K10" s="786">
        <f t="shared" ref="K10:K45" si="3">ROUND(J10/$C10*100,1)</f>
        <v>78.599999999999994</v>
      </c>
      <c r="L10" s="165">
        <v>1664</v>
      </c>
      <c r="M10" s="786">
        <f t="shared" ref="M10:M45" si="4">ROUND(L10/$C10*100,1)</f>
        <v>78.5</v>
      </c>
      <c r="N10" s="165">
        <v>1293</v>
      </c>
      <c r="O10" s="786">
        <f t="shared" ref="O10:O45" si="5">ROUND(N10/$C10*100,1)</f>
        <v>61</v>
      </c>
      <c r="P10" s="618">
        <v>2066</v>
      </c>
      <c r="Q10" s="165">
        <v>1679</v>
      </c>
      <c r="R10" s="786">
        <f t="shared" ref="R10:R45" si="6">ROUND(Q10/$P10*100,1)</f>
        <v>81.3</v>
      </c>
      <c r="S10" s="165">
        <v>1679</v>
      </c>
      <c r="T10" s="786">
        <f t="shared" ref="T10:T45" si="7">ROUND(S10/$P10*100,1)</f>
        <v>81.3</v>
      </c>
      <c r="U10" s="619">
        <v>1687</v>
      </c>
      <c r="V10" s="161">
        <f t="shared" ref="V10:V45" si="8">ROUND(U10/C10*100,1)</f>
        <v>79.599999999999994</v>
      </c>
      <c r="W10" s="619">
        <v>1387</v>
      </c>
      <c r="X10" s="620">
        <f t="shared" ref="X10:X45" si="9">ROUND(W10/AN10*100,1)</f>
        <v>65.8</v>
      </c>
      <c r="Y10" s="619">
        <v>8</v>
      </c>
      <c r="Z10" s="619">
        <v>1</v>
      </c>
      <c r="AA10" s="165">
        <v>1643</v>
      </c>
      <c r="AB10" s="786">
        <f t="shared" ref="AB10:AB45" si="10">ROUND(AA10/$P10*100,1)</f>
        <v>79.5</v>
      </c>
      <c r="AC10" s="165">
        <v>1664</v>
      </c>
      <c r="AD10" s="786">
        <f t="shared" ref="AD10:AD45" si="11">ROUND(AC10/$P10*100,1)</f>
        <v>80.5</v>
      </c>
      <c r="AE10" s="165">
        <v>1635</v>
      </c>
      <c r="AF10" s="786">
        <f t="shared" ref="AF10:AF45" si="12">ROUND(AE10/$AL10*100,1)</f>
        <v>85.9</v>
      </c>
      <c r="AG10" s="165">
        <v>1633</v>
      </c>
      <c r="AH10" s="786">
        <f t="shared" ref="AH10:AH45" si="13">ROUND(AG10/$AL10*100,1)</f>
        <v>85.8</v>
      </c>
      <c r="AI10" s="165">
        <v>1630</v>
      </c>
      <c r="AJ10" s="786">
        <f t="shared" ref="AJ10:AJ45" si="14">ROUND(AI10/$AL10*100,1)</f>
        <v>85.6</v>
      </c>
      <c r="AK10" s="2006">
        <v>617</v>
      </c>
      <c r="AL10" s="846">
        <v>1904</v>
      </c>
      <c r="AN10" s="155">
        <v>2107</v>
      </c>
    </row>
    <row r="11" spans="1:40" ht="15.75" customHeight="1" x14ac:dyDescent="0.25">
      <c r="A11" s="845" t="s">
        <v>141</v>
      </c>
      <c r="B11" s="157" t="s">
        <v>11</v>
      </c>
      <c r="C11" s="155">
        <v>103154</v>
      </c>
      <c r="D11" s="158">
        <v>79374</v>
      </c>
      <c r="E11" s="796">
        <f t="shared" si="0"/>
        <v>76.900000000000006</v>
      </c>
      <c r="F11" s="158">
        <v>79500</v>
      </c>
      <c r="G11" s="796">
        <f t="shared" si="1"/>
        <v>77.099999999999994</v>
      </c>
      <c r="H11" s="158">
        <v>78660</v>
      </c>
      <c r="I11" s="796">
        <f t="shared" si="2"/>
        <v>76.3</v>
      </c>
      <c r="J11" s="158">
        <v>79074</v>
      </c>
      <c r="K11" s="796">
        <f t="shared" si="3"/>
        <v>76.7</v>
      </c>
      <c r="L11" s="158">
        <v>79528</v>
      </c>
      <c r="M11" s="796">
        <f t="shared" si="4"/>
        <v>77.099999999999994</v>
      </c>
      <c r="N11" s="158">
        <v>74014</v>
      </c>
      <c r="O11" s="796">
        <f t="shared" si="5"/>
        <v>71.8</v>
      </c>
      <c r="P11" s="159">
        <v>103094</v>
      </c>
      <c r="Q11" s="158">
        <v>82541</v>
      </c>
      <c r="R11" s="796">
        <f t="shared" si="6"/>
        <v>80.099999999999994</v>
      </c>
      <c r="S11" s="158">
        <v>67401</v>
      </c>
      <c r="T11" s="796">
        <f t="shared" si="7"/>
        <v>65.400000000000006</v>
      </c>
      <c r="U11" s="158">
        <v>8139</v>
      </c>
      <c r="V11" s="161">
        <f t="shared" si="8"/>
        <v>7.9</v>
      </c>
      <c r="W11" s="158">
        <v>5880</v>
      </c>
      <c r="X11" s="156">
        <f t="shared" si="9"/>
        <v>5.7</v>
      </c>
      <c r="Y11" s="158">
        <v>1139</v>
      </c>
      <c r="Z11" s="158">
        <v>0</v>
      </c>
      <c r="AA11" s="158">
        <v>77240</v>
      </c>
      <c r="AB11" s="796">
        <f t="shared" si="10"/>
        <v>74.900000000000006</v>
      </c>
      <c r="AC11" s="158">
        <v>77414</v>
      </c>
      <c r="AD11" s="796">
        <f t="shared" si="11"/>
        <v>75.099999999999994</v>
      </c>
      <c r="AE11" s="158">
        <v>84382</v>
      </c>
      <c r="AF11" s="796">
        <f t="shared" si="12"/>
        <v>81.7</v>
      </c>
      <c r="AG11" s="158">
        <v>1</v>
      </c>
      <c r="AH11" s="796">
        <f t="shared" si="13"/>
        <v>0</v>
      </c>
      <c r="AI11" s="158">
        <v>82925</v>
      </c>
      <c r="AJ11" s="796">
        <f t="shared" si="14"/>
        <v>80.3</v>
      </c>
      <c r="AK11" s="2006">
        <v>65775</v>
      </c>
      <c r="AL11" s="846">
        <v>103288</v>
      </c>
      <c r="AN11" s="155">
        <v>103161</v>
      </c>
    </row>
    <row r="12" spans="1:40" ht="15.75" customHeight="1" x14ac:dyDescent="0.25">
      <c r="A12" s="847" t="s">
        <v>255</v>
      </c>
      <c r="B12" s="162" t="s">
        <v>13</v>
      </c>
      <c r="C12" s="155">
        <v>6611</v>
      </c>
      <c r="D12" s="158">
        <v>5267</v>
      </c>
      <c r="E12" s="796">
        <f t="shared" si="0"/>
        <v>79.7</v>
      </c>
      <c r="F12" s="158">
        <v>5266</v>
      </c>
      <c r="G12" s="796">
        <f t="shared" si="1"/>
        <v>79.7</v>
      </c>
      <c r="H12" s="158">
        <v>4218</v>
      </c>
      <c r="I12" s="796">
        <f t="shared" si="2"/>
        <v>63.8</v>
      </c>
      <c r="J12" s="158">
        <v>5266</v>
      </c>
      <c r="K12" s="796">
        <f t="shared" si="3"/>
        <v>79.7</v>
      </c>
      <c r="L12" s="158">
        <v>5262</v>
      </c>
      <c r="M12" s="796">
        <f t="shared" si="4"/>
        <v>79.599999999999994</v>
      </c>
      <c r="N12" s="158">
        <v>4358</v>
      </c>
      <c r="O12" s="796">
        <f t="shared" si="5"/>
        <v>65.900000000000006</v>
      </c>
      <c r="P12" s="164">
        <v>6684</v>
      </c>
      <c r="Q12" s="158">
        <v>5046</v>
      </c>
      <c r="R12" s="796">
        <f t="shared" si="6"/>
        <v>75.5</v>
      </c>
      <c r="S12" s="158">
        <v>5021</v>
      </c>
      <c r="T12" s="796">
        <f t="shared" si="7"/>
        <v>75.099999999999994</v>
      </c>
      <c r="U12" s="165">
        <v>678</v>
      </c>
      <c r="V12" s="161">
        <f t="shared" si="8"/>
        <v>10.3</v>
      </c>
      <c r="W12" s="158">
        <v>166</v>
      </c>
      <c r="X12" s="156">
        <f t="shared" si="9"/>
        <v>2.5</v>
      </c>
      <c r="Y12" s="158">
        <v>224</v>
      </c>
      <c r="Z12" s="158">
        <v>426</v>
      </c>
      <c r="AA12" s="158">
        <v>4806</v>
      </c>
      <c r="AB12" s="796">
        <f t="shared" si="10"/>
        <v>71.900000000000006</v>
      </c>
      <c r="AC12" s="158">
        <v>5009</v>
      </c>
      <c r="AD12" s="796">
        <f t="shared" si="11"/>
        <v>74.900000000000006</v>
      </c>
      <c r="AE12" s="158">
        <v>4425</v>
      </c>
      <c r="AF12" s="796">
        <f t="shared" si="12"/>
        <v>65.599999999999994</v>
      </c>
      <c r="AG12" s="158">
        <v>4592</v>
      </c>
      <c r="AH12" s="796">
        <f t="shared" si="13"/>
        <v>68.099999999999994</v>
      </c>
      <c r="AI12" s="158">
        <v>4602</v>
      </c>
      <c r="AJ12" s="796">
        <f t="shared" si="14"/>
        <v>68.2</v>
      </c>
      <c r="AK12" s="2006">
        <v>2820</v>
      </c>
      <c r="AL12" s="846">
        <v>6746</v>
      </c>
      <c r="AN12" s="155">
        <v>6627</v>
      </c>
    </row>
    <row r="13" spans="1:40" ht="15.75" customHeight="1" x14ac:dyDescent="0.25">
      <c r="A13" s="847" t="s">
        <v>142</v>
      </c>
      <c r="B13" s="162" t="s">
        <v>14</v>
      </c>
      <c r="C13" s="155">
        <v>22306</v>
      </c>
      <c r="D13" s="158">
        <v>16945</v>
      </c>
      <c r="E13" s="796">
        <f t="shared" si="0"/>
        <v>76</v>
      </c>
      <c r="F13" s="158">
        <v>16941</v>
      </c>
      <c r="G13" s="796">
        <f t="shared" si="1"/>
        <v>75.900000000000006</v>
      </c>
      <c r="H13" s="158">
        <v>12206</v>
      </c>
      <c r="I13" s="796">
        <f t="shared" si="2"/>
        <v>54.7</v>
      </c>
      <c r="J13" s="158">
        <v>16941</v>
      </c>
      <c r="K13" s="796">
        <f t="shared" si="3"/>
        <v>75.900000000000006</v>
      </c>
      <c r="L13" s="158">
        <v>16941</v>
      </c>
      <c r="M13" s="796">
        <f t="shared" si="4"/>
        <v>75.900000000000006</v>
      </c>
      <c r="N13" s="158">
        <v>15436</v>
      </c>
      <c r="O13" s="796">
        <f t="shared" si="5"/>
        <v>69.2</v>
      </c>
      <c r="P13" s="164">
        <v>22539</v>
      </c>
      <c r="Q13" s="158">
        <v>17791</v>
      </c>
      <c r="R13" s="796">
        <f t="shared" si="6"/>
        <v>78.900000000000006</v>
      </c>
      <c r="S13" s="158">
        <v>16004</v>
      </c>
      <c r="T13" s="796">
        <f t="shared" si="7"/>
        <v>71</v>
      </c>
      <c r="U13" s="165">
        <v>5338</v>
      </c>
      <c r="V13" s="161">
        <f t="shared" si="8"/>
        <v>23.9</v>
      </c>
      <c r="W13" s="158">
        <v>994</v>
      </c>
      <c r="X13" s="156">
        <f t="shared" si="9"/>
        <v>4.5</v>
      </c>
      <c r="Y13" s="158">
        <v>105</v>
      </c>
      <c r="Z13" s="158">
        <v>325</v>
      </c>
      <c r="AA13" s="158">
        <v>18231</v>
      </c>
      <c r="AB13" s="796">
        <f t="shared" si="10"/>
        <v>80.900000000000006</v>
      </c>
      <c r="AC13" s="158">
        <v>18334</v>
      </c>
      <c r="AD13" s="796">
        <f t="shared" si="11"/>
        <v>81.3</v>
      </c>
      <c r="AE13" s="158">
        <v>16591</v>
      </c>
      <c r="AF13" s="796">
        <f t="shared" si="12"/>
        <v>71.3</v>
      </c>
      <c r="AG13" s="158">
        <v>16733</v>
      </c>
      <c r="AH13" s="796">
        <f t="shared" si="13"/>
        <v>71.900000000000006</v>
      </c>
      <c r="AI13" s="158">
        <v>16376</v>
      </c>
      <c r="AJ13" s="796">
        <f t="shared" si="14"/>
        <v>70.400000000000006</v>
      </c>
      <c r="AK13" s="2006">
        <v>6625</v>
      </c>
      <c r="AL13" s="846">
        <v>23266</v>
      </c>
      <c r="AN13" s="155">
        <v>22323</v>
      </c>
    </row>
    <row r="14" spans="1:40" ht="15.75" customHeight="1" x14ac:dyDescent="0.25">
      <c r="A14" s="848" t="s">
        <v>245</v>
      </c>
      <c r="B14" s="166" t="s">
        <v>115</v>
      </c>
      <c r="C14" s="155">
        <v>20244</v>
      </c>
      <c r="D14" s="158">
        <v>19752</v>
      </c>
      <c r="E14" s="796">
        <f t="shared" si="0"/>
        <v>97.6</v>
      </c>
      <c r="F14" s="158">
        <v>19982</v>
      </c>
      <c r="G14" s="796">
        <f t="shared" si="1"/>
        <v>98.7</v>
      </c>
      <c r="H14" s="158">
        <v>23502</v>
      </c>
      <c r="I14" s="796">
        <f t="shared" si="2"/>
        <v>116.1</v>
      </c>
      <c r="J14" s="158">
        <v>19990</v>
      </c>
      <c r="K14" s="796">
        <f t="shared" si="3"/>
        <v>98.7</v>
      </c>
      <c r="L14" s="158">
        <v>19982</v>
      </c>
      <c r="M14" s="796">
        <f t="shared" si="4"/>
        <v>98.7</v>
      </c>
      <c r="N14" s="158">
        <v>17142</v>
      </c>
      <c r="O14" s="796">
        <f t="shared" si="5"/>
        <v>84.7</v>
      </c>
      <c r="P14" s="164">
        <v>20395</v>
      </c>
      <c r="Q14" s="158">
        <v>20144</v>
      </c>
      <c r="R14" s="796">
        <f t="shared" si="6"/>
        <v>98.8</v>
      </c>
      <c r="S14" s="158">
        <v>18521</v>
      </c>
      <c r="T14" s="796">
        <f t="shared" si="7"/>
        <v>90.8</v>
      </c>
      <c r="U14" s="165">
        <v>7348</v>
      </c>
      <c r="V14" s="161">
        <f t="shared" si="8"/>
        <v>36.299999999999997</v>
      </c>
      <c r="W14" s="158">
        <v>1020</v>
      </c>
      <c r="X14" s="156">
        <f t="shared" si="9"/>
        <v>5</v>
      </c>
      <c r="Y14" s="158">
        <v>483</v>
      </c>
      <c r="Z14" s="158">
        <v>805</v>
      </c>
      <c r="AA14" s="158">
        <v>16040</v>
      </c>
      <c r="AB14" s="796">
        <f t="shared" si="10"/>
        <v>78.599999999999994</v>
      </c>
      <c r="AC14" s="158">
        <v>16674</v>
      </c>
      <c r="AD14" s="796">
        <f t="shared" si="11"/>
        <v>81.8</v>
      </c>
      <c r="AE14" s="158">
        <v>13148</v>
      </c>
      <c r="AF14" s="796">
        <f t="shared" si="12"/>
        <v>63.6</v>
      </c>
      <c r="AG14" s="158">
        <v>13716</v>
      </c>
      <c r="AH14" s="796">
        <f t="shared" si="13"/>
        <v>66.400000000000006</v>
      </c>
      <c r="AI14" s="158">
        <v>13097</v>
      </c>
      <c r="AJ14" s="796">
        <f t="shared" si="14"/>
        <v>63.4</v>
      </c>
      <c r="AK14" s="2006">
        <v>11596</v>
      </c>
      <c r="AL14" s="846">
        <v>20657</v>
      </c>
      <c r="AN14" s="155">
        <v>20345</v>
      </c>
    </row>
    <row r="15" spans="1:40" ht="15.75" customHeight="1" x14ac:dyDescent="0.25">
      <c r="A15" s="847" t="s">
        <v>303</v>
      </c>
      <c r="B15" s="162" t="s">
        <v>116</v>
      </c>
      <c r="C15" s="167">
        <v>119681</v>
      </c>
      <c r="D15" s="158">
        <v>112629</v>
      </c>
      <c r="E15" s="796">
        <f t="shared" si="0"/>
        <v>94.1</v>
      </c>
      <c r="F15" s="158">
        <v>112642</v>
      </c>
      <c r="G15" s="796">
        <f t="shared" si="1"/>
        <v>94.1</v>
      </c>
      <c r="H15" s="158">
        <v>120686</v>
      </c>
      <c r="I15" s="796">
        <f t="shared" si="2"/>
        <v>100.8</v>
      </c>
      <c r="J15" s="158">
        <v>112194</v>
      </c>
      <c r="K15" s="796">
        <f t="shared" si="3"/>
        <v>93.7</v>
      </c>
      <c r="L15" s="158">
        <v>112642</v>
      </c>
      <c r="M15" s="796">
        <f t="shared" si="4"/>
        <v>94.1</v>
      </c>
      <c r="N15" s="158">
        <v>109311</v>
      </c>
      <c r="O15" s="796">
        <f t="shared" si="5"/>
        <v>91.3</v>
      </c>
      <c r="P15" s="168">
        <v>118987</v>
      </c>
      <c r="Q15" s="158">
        <v>115980</v>
      </c>
      <c r="R15" s="796">
        <f t="shared" si="6"/>
        <v>97.5</v>
      </c>
      <c r="S15" s="158">
        <v>83114</v>
      </c>
      <c r="T15" s="796">
        <f t="shared" si="7"/>
        <v>69.900000000000006</v>
      </c>
      <c r="U15" s="165">
        <v>113358</v>
      </c>
      <c r="V15" s="161">
        <f t="shared" si="8"/>
        <v>94.7</v>
      </c>
      <c r="W15" s="158">
        <v>111808</v>
      </c>
      <c r="X15" s="156">
        <f t="shared" si="9"/>
        <v>93.8</v>
      </c>
      <c r="Y15" s="158">
        <v>1640</v>
      </c>
      <c r="Z15" s="158">
        <v>911</v>
      </c>
      <c r="AA15" s="158">
        <v>88401</v>
      </c>
      <c r="AB15" s="796">
        <f t="shared" si="10"/>
        <v>74.3</v>
      </c>
      <c r="AC15" s="158">
        <v>88146</v>
      </c>
      <c r="AD15" s="796">
        <f t="shared" si="11"/>
        <v>74.099999999999994</v>
      </c>
      <c r="AE15" s="158">
        <v>83343</v>
      </c>
      <c r="AF15" s="796">
        <f t="shared" si="12"/>
        <v>70.599999999999994</v>
      </c>
      <c r="AG15" s="158">
        <v>83786</v>
      </c>
      <c r="AH15" s="796">
        <f t="shared" si="13"/>
        <v>71</v>
      </c>
      <c r="AI15" s="158">
        <v>85062</v>
      </c>
      <c r="AJ15" s="796">
        <f t="shared" si="14"/>
        <v>72.099999999999994</v>
      </c>
      <c r="AK15" s="2006">
        <v>105770</v>
      </c>
      <c r="AL15" s="846">
        <v>118056</v>
      </c>
      <c r="AN15" s="167">
        <v>119208</v>
      </c>
    </row>
    <row r="16" spans="1:40" ht="15.75" customHeight="1" x14ac:dyDescent="0.25">
      <c r="A16" s="847" t="s">
        <v>256</v>
      </c>
      <c r="B16" s="162" t="s">
        <v>117</v>
      </c>
      <c r="C16" s="155">
        <v>24460</v>
      </c>
      <c r="D16" s="158">
        <v>21033</v>
      </c>
      <c r="E16" s="796">
        <f t="shared" si="0"/>
        <v>86</v>
      </c>
      <c r="F16" s="158">
        <v>20874</v>
      </c>
      <c r="G16" s="796">
        <f t="shared" si="1"/>
        <v>85.3</v>
      </c>
      <c r="H16" s="158">
        <v>15812</v>
      </c>
      <c r="I16" s="796">
        <f t="shared" si="2"/>
        <v>64.599999999999994</v>
      </c>
      <c r="J16" s="158">
        <v>21030</v>
      </c>
      <c r="K16" s="796">
        <f t="shared" si="3"/>
        <v>86</v>
      </c>
      <c r="L16" s="158">
        <v>20874</v>
      </c>
      <c r="M16" s="796">
        <f t="shared" si="4"/>
        <v>85.3</v>
      </c>
      <c r="N16" s="158">
        <v>13882</v>
      </c>
      <c r="O16" s="796">
        <f t="shared" si="5"/>
        <v>56.8</v>
      </c>
      <c r="P16" s="164">
        <v>24247</v>
      </c>
      <c r="Q16" s="158">
        <v>19487</v>
      </c>
      <c r="R16" s="796">
        <f t="shared" si="6"/>
        <v>80.400000000000006</v>
      </c>
      <c r="S16" s="158">
        <v>17211</v>
      </c>
      <c r="T16" s="796">
        <f t="shared" si="7"/>
        <v>71</v>
      </c>
      <c r="U16" s="165">
        <v>3755</v>
      </c>
      <c r="V16" s="161">
        <f t="shared" si="8"/>
        <v>15.4</v>
      </c>
      <c r="W16" s="158">
        <v>565</v>
      </c>
      <c r="X16" s="156">
        <f t="shared" si="9"/>
        <v>2.2999999999999998</v>
      </c>
      <c r="Y16" s="158">
        <v>202</v>
      </c>
      <c r="Z16" s="158">
        <v>133</v>
      </c>
      <c r="AA16" s="158">
        <v>18661</v>
      </c>
      <c r="AB16" s="796">
        <f t="shared" si="10"/>
        <v>77</v>
      </c>
      <c r="AC16" s="158">
        <v>18599</v>
      </c>
      <c r="AD16" s="796">
        <f t="shared" si="11"/>
        <v>76.7</v>
      </c>
      <c r="AE16" s="158">
        <v>17140</v>
      </c>
      <c r="AF16" s="796">
        <f t="shared" si="12"/>
        <v>72.599999999999994</v>
      </c>
      <c r="AG16" s="158">
        <v>17070</v>
      </c>
      <c r="AH16" s="796">
        <f t="shared" si="13"/>
        <v>72.3</v>
      </c>
      <c r="AI16" s="158">
        <v>16049</v>
      </c>
      <c r="AJ16" s="796">
        <f t="shared" si="14"/>
        <v>67.900000000000006</v>
      </c>
      <c r="AK16" s="2006">
        <v>3902</v>
      </c>
      <c r="AL16" s="846">
        <v>23622</v>
      </c>
      <c r="AN16" s="155">
        <v>24551</v>
      </c>
    </row>
    <row r="17" spans="1:40" ht="15.75" customHeight="1" x14ac:dyDescent="0.25">
      <c r="A17" s="848" t="s">
        <v>257</v>
      </c>
      <c r="B17" s="166" t="s">
        <v>45</v>
      </c>
      <c r="C17" s="155">
        <v>17047</v>
      </c>
      <c r="D17" s="158">
        <v>19264</v>
      </c>
      <c r="E17" s="796">
        <f t="shared" si="0"/>
        <v>113</v>
      </c>
      <c r="F17" s="158">
        <v>18599</v>
      </c>
      <c r="G17" s="796">
        <f t="shared" si="1"/>
        <v>109.1</v>
      </c>
      <c r="H17" s="158">
        <v>21020</v>
      </c>
      <c r="I17" s="796">
        <f t="shared" si="2"/>
        <v>123.3</v>
      </c>
      <c r="J17" s="158">
        <v>18599</v>
      </c>
      <c r="K17" s="796">
        <f t="shared" si="3"/>
        <v>109.1</v>
      </c>
      <c r="L17" s="158">
        <v>18599</v>
      </c>
      <c r="M17" s="796">
        <f t="shared" si="4"/>
        <v>109.1</v>
      </c>
      <c r="N17" s="158">
        <v>14723</v>
      </c>
      <c r="O17" s="796">
        <f t="shared" si="5"/>
        <v>86.4</v>
      </c>
      <c r="P17" s="164">
        <v>17096</v>
      </c>
      <c r="Q17" s="158">
        <v>20510</v>
      </c>
      <c r="R17" s="796">
        <f t="shared" si="6"/>
        <v>120</v>
      </c>
      <c r="S17" s="158">
        <v>17203</v>
      </c>
      <c r="T17" s="796">
        <f t="shared" si="7"/>
        <v>100.6</v>
      </c>
      <c r="U17" s="165">
        <v>591</v>
      </c>
      <c r="V17" s="161">
        <f t="shared" si="8"/>
        <v>3.5</v>
      </c>
      <c r="W17" s="158">
        <v>529</v>
      </c>
      <c r="X17" s="156">
        <f t="shared" si="9"/>
        <v>3.1</v>
      </c>
      <c r="Y17" s="158">
        <v>27</v>
      </c>
      <c r="Z17" s="158">
        <v>7</v>
      </c>
      <c r="AA17" s="158">
        <v>19431</v>
      </c>
      <c r="AB17" s="796">
        <f t="shared" si="10"/>
        <v>113.7</v>
      </c>
      <c r="AC17" s="158">
        <v>19738</v>
      </c>
      <c r="AD17" s="796">
        <f t="shared" si="11"/>
        <v>115.5</v>
      </c>
      <c r="AE17" s="158">
        <v>16841</v>
      </c>
      <c r="AF17" s="796">
        <f t="shared" si="12"/>
        <v>97.6</v>
      </c>
      <c r="AG17" s="158">
        <v>16507</v>
      </c>
      <c r="AH17" s="796">
        <f t="shared" si="13"/>
        <v>95.7</v>
      </c>
      <c r="AI17" s="158">
        <v>16875</v>
      </c>
      <c r="AJ17" s="796">
        <f t="shared" si="14"/>
        <v>97.8</v>
      </c>
      <c r="AK17" s="2006">
        <v>491</v>
      </c>
      <c r="AL17" s="846">
        <v>17252</v>
      </c>
      <c r="AN17" s="155">
        <v>17143</v>
      </c>
    </row>
    <row r="18" spans="1:40" ht="15.75" customHeight="1" x14ac:dyDescent="0.25">
      <c r="A18" s="849" t="s">
        <v>258</v>
      </c>
      <c r="B18" s="169" t="s">
        <v>118</v>
      </c>
      <c r="C18" s="155">
        <v>22832</v>
      </c>
      <c r="D18" s="158">
        <v>20860</v>
      </c>
      <c r="E18" s="796">
        <f t="shared" si="0"/>
        <v>91.4</v>
      </c>
      <c r="F18" s="158">
        <v>20862</v>
      </c>
      <c r="G18" s="796">
        <f t="shared" si="1"/>
        <v>91.4</v>
      </c>
      <c r="H18" s="158">
        <v>18105</v>
      </c>
      <c r="I18" s="796">
        <f t="shared" si="2"/>
        <v>79.3</v>
      </c>
      <c r="J18" s="158">
        <v>20860</v>
      </c>
      <c r="K18" s="796">
        <f t="shared" si="3"/>
        <v>91.4</v>
      </c>
      <c r="L18" s="158">
        <v>20860</v>
      </c>
      <c r="M18" s="796">
        <f t="shared" si="4"/>
        <v>91.4</v>
      </c>
      <c r="N18" s="158">
        <v>17936</v>
      </c>
      <c r="O18" s="796">
        <f t="shared" si="5"/>
        <v>78.599999999999994</v>
      </c>
      <c r="P18" s="164">
        <v>23198</v>
      </c>
      <c r="Q18" s="158">
        <v>20700</v>
      </c>
      <c r="R18" s="796">
        <f t="shared" si="6"/>
        <v>89.2</v>
      </c>
      <c r="S18" s="158">
        <v>20720</v>
      </c>
      <c r="T18" s="796">
        <f t="shared" si="7"/>
        <v>89.3</v>
      </c>
      <c r="U18" s="165">
        <v>8181</v>
      </c>
      <c r="V18" s="161">
        <f t="shared" si="8"/>
        <v>35.799999999999997</v>
      </c>
      <c r="W18" s="158">
        <v>1322</v>
      </c>
      <c r="X18" s="156">
        <f t="shared" si="9"/>
        <v>5.7</v>
      </c>
      <c r="Y18" s="158">
        <v>384</v>
      </c>
      <c r="Z18" s="158">
        <v>178</v>
      </c>
      <c r="AA18" s="158">
        <v>19050</v>
      </c>
      <c r="AB18" s="796">
        <f t="shared" si="10"/>
        <v>82.1</v>
      </c>
      <c r="AC18" s="158">
        <v>19221</v>
      </c>
      <c r="AD18" s="796">
        <f t="shared" si="11"/>
        <v>82.9</v>
      </c>
      <c r="AE18" s="158">
        <v>20613</v>
      </c>
      <c r="AF18" s="796">
        <f t="shared" si="12"/>
        <v>84.4</v>
      </c>
      <c r="AG18" s="158">
        <v>20384</v>
      </c>
      <c r="AH18" s="796">
        <f t="shared" si="13"/>
        <v>83.5</v>
      </c>
      <c r="AI18" s="158">
        <v>20364</v>
      </c>
      <c r="AJ18" s="796">
        <f t="shared" si="14"/>
        <v>83.4</v>
      </c>
      <c r="AK18" s="2006">
        <v>20026</v>
      </c>
      <c r="AL18" s="846">
        <v>24426</v>
      </c>
      <c r="AN18" s="155">
        <v>23293</v>
      </c>
    </row>
    <row r="19" spans="1:40" ht="15.75" customHeight="1" x14ac:dyDescent="0.25">
      <c r="A19" s="849" t="s">
        <v>259</v>
      </c>
      <c r="B19" s="169" t="s">
        <v>19</v>
      </c>
      <c r="C19" s="155">
        <v>16571</v>
      </c>
      <c r="D19" s="158">
        <v>11620</v>
      </c>
      <c r="E19" s="796">
        <f t="shared" si="0"/>
        <v>70.099999999999994</v>
      </c>
      <c r="F19" s="158">
        <v>11619</v>
      </c>
      <c r="G19" s="796">
        <f t="shared" si="1"/>
        <v>70.099999999999994</v>
      </c>
      <c r="H19" s="158">
        <v>10790</v>
      </c>
      <c r="I19" s="796">
        <f t="shared" si="2"/>
        <v>65.099999999999994</v>
      </c>
      <c r="J19" s="158">
        <v>11619</v>
      </c>
      <c r="K19" s="796">
        <f t="shared" si="3"/>
        <v>70.099999999999994</v>
      </c>
      <c r="L19" s="158">
        <v>11619</v>
      </c>
      <c r="M19" s="796">
        <f t="shared" si="4"/>
        <v>70.099999999999994</v>
      </c>
      <c r="N19" s="158">
        <v>12098</v>
      </c>
      <c r="O19" s="796">
        <f t="shared" si="5"/>
        <v>73</v>
      </c>
      <c r="P19" s="164">
        <v>16559</v>
      </c>
      <c r="Q19" s="158">
        <v>12302</v>
      </c>
      <c r="R19" s="796">
        <f t="shared" si="6"/>
        <v>74.3</v>
      </c>
      <c r="S19" s="158">
        <v>12300</v>
      </c>
      <c r="T19" s="796">
        <f t="shared" si="7"/>
        <v>74.3</v>
      </c>
      <c r="U19" s="165">
        <v>701</v>
      </c>
      <c r="V19" s="161">
        <f t="shared" si="8"/>
        <v>4.2</v>
      </c>
      <c r="W19" s="158">
        <v>445</v>
      </c>
      <c r="X19" s="156">
        <f t="shared" si="9"/>
        <v>2.7</v>
      </c>
      <c r="Y19" s="158">
        <v>58</v>
      </c>
      <c r="Z19" s="158">
        <v>296</v>
      </c>
      <c r="AA19" s="158">
        <v>11504</v>
      </c>
      <c r="AB19" s="796">
        <f t="shared" si="10"/>
        <v>69.5</v>
      </c>
      <c r="AC19" s="158">
        <v>11728</v>
      </c>
      <c r="AD19" s="796">
        <f t="shared" si="11"/>
        <v>70.8</v>
      </c>
      <c r="AE19" s="158">
        <v>12301</v>
      </c>
      <c r="AF19" s="796">
        <f t="shared" si="12"/>
        <v>74.2</v>
      </c>
      <c r="AG19" s="158">
        <v>12612</v>
      </c>
      <c r="AH19" s="796">
        <f t="shared" si="13"/>
        <v>76.099999999999994</v>
      </c>
      <c r="AI19" s="158">
        <v>11780</v>
      </c>
      <c r="AJ19" s="796">
        <f t="shared" si="14"/>
        <v>71.099999999999994</v>
      </c>
      <c r="AK19" s="2006">
        <v>7392</v>
      </c>
      <c r="AL19" s="846">
        <v>16579</v>
      </c>
      <c r="AN19" s="155">
        <v>16709</v>
      </c>
    </row>
    <row r="20" spans="1:40" ht="15.75" customHeight="1" x14ac:dyDescent="0.25">
      <c r="A20" s="847" t="s">
        <v>260</v>
      </c>
      <c r="B20" s="162" t="s">
        <v>119</v>
      </c>
      <c r="C20" s="155">
        <v>10743</v>
      </c>
      <c r="D20" s="158">
        <v>9581</v>
      </c>
      <c r="E20" s="796">
        <f t="shared" si="0"/>
        <v>89.2</v>
      </c>
      <c r="F20" s="158">
        <v>9582</v>
      </c>
      <c r="G20" s="796">
        <f t="shared" si="1"/>
        <v>89.2</v>
      </c>
      <c r="H20" s="158">
        <v>9614</v>
      </c>
      <c r="I20" s="796">
        <f t="shared" si="2"/>
        <v>89.5</v>
      </c>
      <c r="J20" s="158">
        <v>9582</v>
      </c>
      <c r="K20" s="796">
        <f t="shared" si="3"/>
        <v>89.2</v>
      </c>
      <c r="L20" s="158">
        <v>9582</v>
      </c>
      <c r="M20" s="796">
        <f t="shared" si="4"/>
        <v>89.2</v>
      </c>
      <c r="N20" s="158">
        <v>7577</v>
      </c>
      <c r="O20" s="796">
        <f t="shared" si="5"/>
        <v>70.5</v>
      </c>
      <c r="P20" s="164">
        <v>10766</v>
      </c>
      <c r="Q20" s="158">
        <v>8981</v>
      </c>
      <c r="R20" s="796">
        <f t="shared" si="6"/>
        <v>83.4</v>
      </c>
      <c r="S20" s="158">
        <v>8237</v>
      </c>
      <c r="T20" s="796">
        <f t="shared" si="7"/>
        <v>76.5</v>
      </c>
      <c r="U20" s="165">
        <v>8272</v>
      </c>
      <c r="V20" s="161">
        <f t="shared" si="8"/>
        <v>77</v>
      </c>
      <c r="W20" s="158">
        <v>5685</v>
      </c>
      <c r="X20" s="156">
        <f t="shared" si="9"/>
        <v>52.8</v>
      </c>
      <c r="Y20" s="158">
        <v>147</v>
      </c>
      <c r="Z20" s="158">
        <v>56</v>
      </c>
      <c r="AA20" s="158">
        <v>9734</v>
      </c>
      <c r="AB20" s="796">
        <f t="shared" si="10"/>
        <v>90.4</v>
      </c>
      <c r="AC20" s="158">
        <v>9737</v>
      </c>
      <c r="AD20" s="796">
        <f t="shared" si="11"/>
        <v>90.4</v>
      </c>
      <c r="AE20" s="158">
        <v>8295</v>
      </c>
      <c r="AF20" s="796">
        <f t="shared" si="12"/>
        <v>77.400000000000006</v>
      </c>
      <c r="AG20" s="158">
        <v>8299</v>
      </c>
      <c r="AH20" s="796">
        <f t="shared" si="13"/>
        <v>77.400000000000006</v>
      </c>
      <c r="AI20" s="158">
        <v>8173</v>
      </c>
      <c r="AJ20" s="796">
        <f t="shared" si="14"/>
        <v>76.2</v>
      </c>
      <c r="AK20" s="2006">
        <v>4325</v>
      </c>
      <c r="AL20" s="846">
        <v>10719</v>
      </c>
      <c r="AN20" s="155">
        <v>10775</v>
      </c>
    </row>
    <row r="21" spans="1:40" ht="15.75" customHeight="1" x14ac:dyDescent="0.25">
      <c r="A21" s="849" t="s">
        <v>261</v>
      </c>
      <c r="B21" s="169" t="s">
        <v>21</v>
      </c>
      <c r="C21" s="155">
        <v>7014</v>
      </c>
      <c r="D21" s="158">
        <v>6676</v>
      </c>
      <c r="E21" s="796">
        <f t="shared" si="0"/>
        <v>95.2</v>
      </c>
      <c r="F21" s="158">
        <v>6674</v>
      </c>
      <c r="G21" s="796">
        <f t="shared" si="1"/>
        <v>95.2</v>
      </c>
      <c r="H21" s="158">
        <v>6494</v>
      </c>
      <c r="I21" s="796">
        <f t="shared" si="2"/>
        <v>92.6</v>
      </c>
      <c r="J21" s="158">
        <v>6678</v>
      </c>
      <c r="K21" s="796">
        <f t="shared" si="3"/>
        <v>95.2</v>
      </c>
      <c r="L21" s="158">
        <v>6674</v>
      </c>
      <c r="M21" s="796">
        <f t="shared" si="4"/>
        <v>95.2</v>
      </c>
      <c r="N21" s="158">
        <v>6526</v>
      </c>
      <c r="O21" s="796">
        <f t="shared" si="5"/>
        <v>93</v>
      </c>
      <c r="P21" s="164">
        <v>7022</v>
      </c>
      <c r="Q21" s="158">
        <v>6610</v>
      </c>
      <c r="R21" s="796">
        <f t="shared" si="6"/>
        <v>94.1</v>
      </c>
      <c r="S21" s="158">
        <v>6606</v>
      </c>
      <c r="T21" s="796">
        <f t="shared" si="7"/>
        <v>94.1</v>
      </c>
      <c r="U21" s="165">
        <v>7982</v>
      </c>
      <c r="V21" s="161">
        <f t="shared" si="8"/>
        <v>113.8</v>
      </c>
      <c r="W21" s="158">
        <v>5044</v>
      </c>
      <c r="X21" s="156">
        <f t="shared" si="9"/>
        <v>72.2</v>
      </c>
      <c r="Y21" s="158">
        <v>254</v>
      </c>
      <c r="Z21" s="158">
        <v>557</v>
      </c>
      <c r="AA21" s="158">
        <v>6690</v>
      </c>
      <c r="AB21" s="796">
        <f t="shared" si="10"/>
        <v>95.3</v>
      </c>
      <c r="AC21" s="158">
        <v>6692</v>
      </c>
      <c r="AD21" s="796">
        <f t="shared" si="11"/>
        <v>95.3</v>
      </c>
      <c r="AE21" s="158">
        <v>6685</v>
      </c>
      <c r="AF21" s="796">
        <f t="shared" si="12"/>
        <v>95.1</v>
      </c>
      <c r="AG21" s="158">
        <v>6685</v>
      </c>
      <c r="AH21" s="796">
        <f t="shared" si="13"/>
        <v>95.1</v>
      </c>
      <c r="AI21" s="158">
        <v>6525</v>
      </c>
      <c r="AJ21" s="796">
        <f t="shared" si="14"/>
        <v>92.8</v>
      </c>
      <c r="AK21" s="2006">
        <v>8168</v>
      </c>
      <c r="AL21" s="846">
        <v>7033</v>
      </c>
      <c r="AN21" s="155">
        <v>6989</v>
      </c>
    </row>
    <row r="22" spans="1:40" ht="15.75" customHeight="1" x14ac:dyDescent="0.25">
      <c r="A22" s="847" t="s">
        <v>262</v>
      </c>
      <c r="B22" s="162" t="s">
        <v>18</v>
      </c>
      <c r="C22" s="155">
        <v>25948</v>
      </c>
      <c r="D22" s="158">
        <v>23686</v>
      </c>
      <c r="E22" s="796">
        <f t="shared" si="0"/>
        <v>91.3</v>
      </c>
      <c r="F22" s="158">
        <v>23620</v>
      </c>
      <c r="G22" s="796">
        <f t="shared" si="1"/>
        <v>91</v>
      </c>
      <c r="H22" s="158">
        <v>19783</v>
      </c>
      <c r="I22" s="796">
        <f t="shared" si="2"/>
        <v>76.2</v>
      </c>
      <c r="J22" s="158">
        <v>23620</v>
      </c>
      <c r="K22" s="796">
        <f t="shared" si="3"/>
        <v>91</v>
      </c>
      <c r="L22" s="158">
        <v>23620</v>
      </c>
      <c r="M22" s="796">
        <f t="shared" si="4"/>
        <v>91</v>
      </c>
      <c r="N22" s="158">
        <v>20332</v>
      </c>
      <c r="O22" s="796">
        <f t="shared" si="5"/>
        <v>78.400000000000006</v>
      </c>
      <c r="P22" s="164">
        <v>25949</v>
      </c>
      <c r="Q22" s="158">
        <v>23064</v>
      </c>
      <c r="R22" s="796">
        <f t="shared" si="6"/>
        <v>88.9</v>
      </c>
      <c r="S22" s="158">
        <v>20996</v>
      </c>
      <c r="T22" s="796">
        <f t="shared" si="7"/>
        <v>80.900000000000006</v>
      </c>
      <c r="U22" s="165">
        <v>20228</v>
      </c>
      <c r="V22" s="161">
        <f t="shared" si="8"/>
        <v>78</v>
      </c>
      <c r="W22" s="158">
        <v>12006</v>
      </c>
      <c r="X22" s="156">
        <f t="shared" si="9"/>
        <v>46.2</v>
      </c>
      <c r="Y22" s="158">
        <v>505</v>
      </c>
      <c r="Z22" s="158">
        <v>160</v>
      </c>
      <c r="AA22" s="158">
        <v>21653</v>
      </c>
      <c r="AB22" s="796">
        <f t="shared" si="10"/>
        <v>83.4</v>
      </c>
      <c r="AC22" s="158">
        <v>21723</v>
      </c>
      <c r="AD22" s="796">
        <f t="shared" si="11"/>
        <v>83.7</v>
      </c>
      <c r="AE22" s="158">
        <v>20560</v>
      </c>
      <c r="AF22" s="796">
        <f t="shared" si="12"/>
        <v>78.599999999999994</v>
      </c>
      <c r="AG22" s="158">
        <v>20853</v>
      </c>
      <c r="AH22" s="796">
        <f t="shared" si="13"/>
        <v>79.7</v>
      </c>
      <c r="AI22" s="158">
        <v>19802</v>
      </c>
      <c r="AJ22" s="796">
        <f t="shared" si="14"/>
        <v>75.7</v>
      </c>
      <c r="AK22" s="2006">
        <v>12153</v>
      </c>
      <c r="AL22" s="846">
        <v>26163</v>
      </c>
      <c r="AN22" s="155">
        <v>25992</v>
      </c>
    </row>
    <row r="23" spans="1:40" ht="15.75" customHeight="1" x14ac:dyDescent="0.25">
      <c r="A23" s="847" t="s">
        <v>263</v>
      </c>
      <c r="B23" s="162" t="s">
        <v>22</v>
      </c>
      <c r="C23" s="155">
        <v>22159</v>
      </c>
      <c r="D23" s="158">
        <v>23497</v>
      </c>
      <c r="E23" s="796">
        <f t="shared" si="0"/>
        <v>106</v>
      </c>
      <c r="F23" s="158">
        <v>23736</v>
      </c>
      <c r="G23" s="796">
        <f t="shared" si="1"/>
        <v>107.1</v>
      </c>
      <c r="H23" s="158">
        <v>23211</v>
      </c>
      <c r="I23" s="796">
        <f t="shared" si="2"/>
        <v>104.7</v>
      </c>
      <c r="J23" s="158">
        <v>23863</v>
      </c>
      <c r="K23" s="796">
        <f t="shared" si="3"/>
        <v>107.7</v>
      </c>
      <c r="L23" s="158">
        <v>23863</v>
      </c>
      <c r="M23" s="796">
        <f t="shared" si="4"/>
        <v>107.7</v>
      </c>
      <c r="N23" s="158">
        <v>20797</v>
      </c>
      <c r="O23" s="796">
        <f t="shared" si="5"/>
        <v>93.9</v>
      </c>
      <c r="P23" s="164">
        <v>22151</v>
      </c>
      <c r="Q23" s="158">
        <v>23518</v>
      </c>
      <c r="R23" s="796">
        <f t="shared" si="6"/>
        <v>106.2</v>
      </c>
      <c r="S23" s="158">
        <v>23178</v>
      </c>
      <c r="T23" s="796">
        <f t="shared" si="7"/>
        <v>104.6</v>
      </c>
      <c r="U23" s="165">
        <v>7932</v>
      </c>
      <c r="V23" s="161">
        <f t="shared" si="8"/>
        <v>35.799999999999997</v>
      </c>
      <c r="W23" s="158">
        <v>3371</v>
      </c>
      <c r="X23" s="156">
        <f t="shared" si="9"/>
        <v>15.2</v>
      </c>
      <c r="Y23" s="158">
        <v>605</v>
      </c>
      <c r="Z23" s="158">
        <v>1621</v>
      </c>
      <c r="AA23" s="158">
        <v>24615</v>
      </c>
      <c r="AB23" s="796">
        <f t="shared" si="10"/>
        <v>111.1</v>
      </c>
      <c r="AC23" s="158">
        <v>25007</v>
      </c>
      <c r="AD23" s="796">
        <f t="shared" si="11"/>
        <v>112.9</v>
      </c>
      <c r="AE23" s="158">
        <v>21430</v>
      </c>
      <c r="AF23" s="796">
        <f t="shared" si="12"/>
        <v>97</v>
      </c>
      <c r="AG23" s="158">
        <v>21734</v>
      </c>
      <c r="AH23" s="796">
        <f t="shared" si="13"/>
        <v>98.3</v>
      </c>
      <c r="AI23" s="158">
        <v>21042</v>
      </c>
      <c r="AJ23" s="796">
        <f t="shared" si="14"/>
        <v>95.2</v>
      </c>
      <c r="AK23" s="2006">
        <v>11618</v>
      </c>
      <c r="AL23" s="846">
        <v>22101</v>
      </c>
      <c r="AN23" s="155">
        <v>22229</v>
      </c>
    </row>
    <row r="24" spans="1:40" ht="15.75" customHeight="1" x14ac:dyDescent="0.25">
      <c r="A24" s="847" t="s">
        <v>264</v>
      </c>
      <c r="B24" s="162" t="s">
        <v>120</v>
      </c>
      <c r="C24" s="155">
        <v>13552</v>
      </c>
      <c r="D24" s="158">
        <v>8794</v>
      </c>
      <c r="E24" s="796">
        <f t="shared" si="0"/>
        <v>64.900000000000006</v>
      </c>
      <c r="F24" s="158">
        <v>8794</v>
      </c>
      <c r="G24" s="796">
        <f t="shared" si="1"/>
        <v>64.900000000000006</v>
      </c>
      <c r="H24" s="158">
        <v>10086</v>
      </c>
      <c r="I24" s="796">
        <f t="shared" si="2"/>
        <v>74.400000000000006</v>
      </c>
      <c r="J24" s="158">
        <v>8797</v>
      </c>
      <c r="K24" s="796">
        <f t="shared" si="3"/>
        <v>64.900000000000006</v>
      </c>
      <c r="L24" s="158">
        <v>8795</v>
      </c>
      <c r="M24" s="796">
        <f t="shared" si="4"/>
        <v>64.900000000000006</v>
      </c>
      <c r="N24" s="158">
        <v>6046</v>
      </c>
      <c r="O24" s="796">
        <f t="shared" si="5"/>
        <v>44.6</v>
      </c>
      <c r="P24" s="164">
        <v>13403</v>
      </c>
      <c r="Q24" s="158">
        <v>10299</v>
      </c>
      <c r="R24" s="796">
        <f t="shared" si="6"/>
        <v>76.8</v>
      </c>
      <c r="S24" s="158">
        <v>10486</v>
      </c>
      <c r="T24" s="796">
        <f t="shared" si="7"/>
        <v>78.2</v>
      </c>
      <c r="U24" s="165">
        <v>7791</v>
      </c>
      <c r="V24" s="161">
        <f t="shared" si="8"/>
        <v>57.5</v>
      </c>
      <c r="W24" s="158">
        <v>5409</v>
      </c>
      <c r="X24" s="156">
        <f t="shared" si="9"/>
        <v>39.799999999999997</v>
      </c>
      <c r="Y24" s="158">
        <v>382</v>
      </c>
      <c r="Z24" s="158">
        <v>12</v>
      </c>
      <c r="AA24" s="158">
        <v>9326</v>
      </c>
      <c r="AB24" s="796">
        <f t="shared" si="10"/>
        <v>69.599999999999994</v>
      </c>
      <c r="AC24" s="158">
        <v>9347</v>
      </c>
      <c r="AD24" s="796">
        <f t="shared" si="11"/>
        <v>69.7</v>
      </c>
      <c r="AE24" s="158">
        <v>6791</v>
      </c>
      <c r="AF24" s="796">
        <f t="shared" si="12"/>
        <v>52.9</v>
      </c>
      <c r="AG24" s="158">
        <v>6800</v>
      </c>
      <c r="AH24" s="796">
        <f t="shared" si="13"/>
        <v>52.9</v>
      </c>
      <c r="AI24" s="158">
        <v>6599</v>
      </c>
      <c r="AJ24" s="796">
        <f t="shared" si="14"/>
        <v>51.4</v>
      </c>
      <c r="AK24" s="2006">
        <v>3965</v>
      </c>
      <c r="AL24" s="846">
        <v>12845</v>
      </c>
      <c r="AN24" s="155">
        <v>13576</v>
      </c>
    </row>
    <row r="25" spans="1:40" ht="15.75" customHeight="1" x14ac:dyDescent="0.25">
      <c r="A25" s="847" t="s">
        <v>265</v>
      </c>
      <c r="B25" s="162" t="s">
        <v>121</v>
      </c>
      <c r="C25" s="155">
        <v>35936</v>
      </c>
      <c r="D25" s="158">
        <v>34982</v>
      </c>
      <c r="E25" s="796">
        <f t="shared" si="0"/>
        <v>97.3</v>
      </c>
      <c r="F25" s="158">
        <v>35000</v>
      </c>
      <c r="G25" s="796">
        <f t="shared" si="1"/>
        <v>97.4</v>
      </c>
      <c r="H25" s="158">
        <v>33363</v>
      </c>
      <c r="I25" s="796">
        <f t="shared" si="2"/>
        <v>92.8</v>
      </c>
      <c r="J25" s="158">
        <v>35000</v>
      </c>
      <c r="K25" s="796">
        <f t="shared" si="3"/>
        <v>97.4</v>
      </c>
      <c r="L25" s="158">
        <v>35000</v>
      </c>
      <c r="M25" s="796">
        <f t="shared" si="4"/>
        <v>97.4</v>
      </c>
      <c r="N25" s="158">
        <v>25928</v>
      </c>
      <c r="O25" s="796">
        <f t="shared" si="5"/>
        <v>72.2</v>
      </c>
      <c r="P25" s="164">
        <v>35665</v>
      </c>
      <c r="Q25" s="158">
        <v>31881</v>
      </c>
      <c r="R25" s="796">
        <f t="shared" si="6"/>
        <v>89.4</v>
      </c>
      <c r="S25" s="158">
        <v>28442</v>
      </c>
      <c r="T25" s="796">
        <f t="shared" si="7"/>
        <v>79.7</v>
      </c>
      <c r="U25" s="165">
        <v>10056</v>
      </c>
      <c r="V25" s="161">
        <f t="shared" si="8"/>
        <v>28</v>
      </c>
      <c r="W25" s="158">
        <v>517</v>
      </c>
      <c r="X25" s="156">
        <f t="shared" si="9"/>
        <v>1.4</v>
      </c>
      <c r="Y25" s="158">
        <v>123</v>
      </c>
      <c r="Z25" s="158">
        <v>160</v>
      </c>
      <c r="AA25" s="158">
        <v>30040</v>
      </c>
      <c r="AB25" s="796">
        <f t="shared" si="10"/>
        <v>84.2</v>
      </c>
      <c r="AC25" s="158">
        <v>29953</v>
      </c>
      <c r="AD25" s="796">
        <f t="shared" si="11"/>
        <v>84</v>
      </c>
      <c r="AE25" s="158">
        <v>28578</v>
      </c>
      <c r="AF25" s="796">
        <f t="shared" si="12"/>
        <v>82.8</v>
      </c>
      <c r="AG25" s="158">
        <v>28477</v>
      </c>
      <c r="AH25" s="796">
        <f t="shared" si="13"/>
        <v>82.5</v>
      </c>
      <c r="AI25" s="158">
        <v>26092</v>
      </c>
      <c r="AJ25" s="796">
        <f t="shared" si="14"/>
        <v>75.599999999999994</v>
      </c>
      <c r="AK25" s="2006">
        <v>13206</v>
      </c>
      <c r="AL25" s="846">
        <v>34529</v>
      </c>
      <c r="AN25" s="155">
        <v>35799</v>
      </c>
    </row>
    <row r="26" spans="1:40" ht="15.75" customHeight="1" x14ac:dyDescent="0.25">
      <c r="A26" s="850" t="s">
        <v>265</v>
      </c>
      <c r="B26" s="170" t="s">
        <v>122</v>
      </c>
      <c r="C26" s="155">
        <v>46570</v>
      </c>
      <c r="D26" s="158">
        <v>35807</v>
      </c>
      <c r="E26" s="796">
        <f t="shared" si="0"/>
        <v>76.900000000000006</v>
      </c>
      <c r="F26" s="158">
        <v>35732</v>
      </c>
      <c r="G26" s="796">
        <f t="shared" si="1"/>
        <v>76.7</v>
      </c>
      <c r="H26" s="158">
        <v>25458</v>
      </c>
      <c r="I26" s="796">
        <f t="shared" si="2"/>
        <v>54.7</v>
      </c>
      <c r="J26" s="158">
        <v>35766</v>
      </c>
      <c r="K26" s="796">
        <f t="shared" si="3"/>
        <v>76.8</v>
      </c>
      <c r="L26" s="158">
        <v>35732</v>
      </c>
      <c r="M26" s="796">
        <f t="shared" si="4"/>
        <v>76.7</v>
      </c>
      <c r="N26" s="158">
        <v>29544</v>
      </c>
      <c r="O26" s="796">
        <f t="shared" si="5"/>
        <v>63.4</v>
      </c>
      <c r="P26" s="164">
        <v>46414</v>
      </c>
      <c r="Q26" s="158">
        <v>34709</v>
      </c>
      <c r="R26" s="796">
        <f t="shared" si="6"/>
        <v>74.8</v>
      </c>
      <c r="S26" s="158">
        <v>32198</v>
      </c>
      <c r="T26" s="796">
        <f t="shared" si="7"/>
        <v>69.400000000000006</v>
      </c>
      <c r="U26" s="165">
        <v>3724</v>
      </c>
      <c r="V26" s="161">
        <f t="shared" si="8"/>
        <v>8</v>
      </c>
      <c r="W26" s="158">
        <v>1049</v>
      </c>
      <c r="X26" s="156">
        <f t="shared" si="9"/>
        <v>2.2999999999999998</v>
      </c>
      <c r="Y26" s="158">
        <v>254</v>
      </c>
      <c r="Z26" s="158">
        <v>87</v>
      </c>
      <c r="AA26" s="158">
        <v>38296</v>
      </c>
      <c r="AB26" s="796">
        <f t="shared" si="10"/>
        <v>82.5</v>
      </c>
      <c r="AC26" s="158">
        <v>37977</v>
      </c>
      <c r="AD26" s="796">
        <f t="shared" si="11"/>
        <v>81.8</v>
      </c>
      <c r="AE26" s="158">
        <v>36755</v>
      </c>
      <c r="AF26" s="796">
        <f t="shared" si="12"/>
        <v>79.599999999999994</v>
      </c>
      <c r="AG26" s="158">
        <v>36165</v>
      </c>
      <c r="AH26" s="796">
        <f t="shared" si="13"/>
        <v>78.3</v>
      </c>
      <c r="AI26" s="158">
        <v>35125</v>
      </c>
      <c r="AJ26" s="796">
        <f t="shared" si="14"/>
        <v>76.099999999999994</v>
      </c>
      <c r="AK26" s="2006">
        <v>29537</v>
      </c>
      <c r="AL26" s="846">
        <v>46179</v>
      </c>
      <c r="AN26" s="155">
        <v>46254</v>
      </c>
    </row>
    <row r="27" spans="1:40" ht="15.75" customHeight="1" x14ac:dyDescent="0.25">
      <c r="A27" s="847" t="s">
        <v>266</v>
      </c>
      <c r="B27" s="162" t="s">
        <v>123</v>
      </c>
      <c r="C27" s="155">
        <v>1052</v>
      </c>
      <c r="D27" s="158">
        <v>546</v>
      </c>
      <c r="E27" s="796">
        <f t="shared" si="0"/>
        <v>51.9</v>
      </c>
      <c r="F27" s="158">
        <v>545</v>
      </c>
      <c r="G27" s="796">
        <f t="shared" si="1"/>
        <v>51.8</v>
      </c>
      <c r="H27" s="158">
        <v>803</v>
      </c>
      <c r="I27" s="796">
        <f t="shared" si="2"/>
        <v>76.3</v>
      </c>
      <c r="J27" s="158">
        <v>546</v>
      </c>
      <c r="K27" s="796">
        <f t="shared" si="3"/>
        <v>51.9</v>
      </c>
      <c r="L27" s="158">
        <v>546</v>
      </c>
      <c r="M27" s="796">
        <f t="shared" si="4"/>
        <v>51.9</v>
      </c>
      <c r="N27" s="158">
        <v>483</v>
      </c>
      <c r="O27" s="796">
        <f t="shared" si="5"/>
        <v>45.9</v>
      </c>
      <c r="P27" s="164">
        <v>1018</v>
      </c>
      <c r="Q27" s="158">
        <v>720</v>
      </c>
      <c r="R27" s="796">
        <f t="shared" si="6"/>
        <v>70.7</v>
      </c>
      <c r="S27" s="158">
        <v>713</v>
      </c>
      <c r="T27" s="796">
        <f t="shared" si="7"/>
        <v>70</v>
      </c>
      <c r="U27" s="165">
        <v>643</v>
      </c>
      <c r="V27" s="161">
        <f t="shared" si="8"/>
        <v>61.1</v>
      </c>
      <c r="W27" s="158">
        <v>375</v>
      </c>
      <c r="X27" s="156">
        <f t="shared" si="9"/>
        <v>37.4</v>
      </c>
      <c r="Y27" s="158">
        <v>65</v>
      </c>
      <c r="Z27" s="158">
        <v>99</v>
      </c>
      <c r="AA27" s="158">
        <v>825</v>
      </c>
      <c r="AB27" s="796">
        <f t="shared" si="10"/>
        <v>81</v>
      </c>
      <c r="AC27" s="158">
        <v>825</v>
      </c>
      <c r="AD27" s="796">
        <f t="shared" si="11"/>
        <v>81</v>
      </c>
      <c r="AE27" s="158">
        <v>632</v>
      </c>
      <c r="AF27" s="796">
        <f t="shared" si="12"/>
        <v>70.3</v>
      </c>
      <c r="AG27" s="158">
        <v>633</v>
      </c>
      <c r="AH27" s="796">
        <f t="shared" si="13"/>
        <v>70.400000000000006</v>
      </c>
      <c r="AI27" s="158">
        <v>617</v>
      </c>
      <c r="AJ27" s="796">
        <f t="shared" si="14"/>
        <v>68.599999999999994</v>
      </c>
      <c r="AK27" s="2006">
        <v>666</v>
      </c>
      <c r="AL27" s="846">
        <v>899</v>
      </c>
      <c r="AN27" s="155">
        <v>1003</v>
      </c>
    </row>
    <row r="28" spans="1:40" ht="15.75" customHeight="1" x14ac:dyDescent="0.25">
      <c r="A28" s="849" t="s">
        <v>267</v>
      </c>
      <c r="B28" s="169" t="s">
        <v>26</v>
      </c>
      <c r="C28" s="155">
        <v>2808</v>
      </c>
      <c r="D28" s="158">
        <v>1837</v>
      </c>
      <c r="E28" s="796">
        <f t="shared" si="0"/>
        <v>65.400000000000006</v>
      </c>
      <c r="F28" s="158">
        <v>1837</v>
      </c>
      <c r="G28" s="796">
        <f t="shared" si="1"/>
        <v>65.400000000000006</v>
      </c>
      <c r="H28" s="158">
        <v>1483</v>
      </c>
      <c r="I28" s="796">
        <f t="shared" si="2"/>
        <v>52.8</v>
      </c>
      <c r="J28" s="158">
        <v>1837</v>
      </c>
      <c r="K28" s="796">
        <f t="shared" si="3"/>
        <v>65.400000000000006</v>
      </c>
      <c r="L28" s="158">
        <v>1837</v>
      </c>
      <c r="M28" s="796">
        <f t="shared" si="4"/>
        <v>65.400000000000006</v>
      </c>
      <c r="N28" s="158">
        <v>1563</v>
      </c>
      <c r="O28" s="796">
        <f t="shared" si="5"/>
        <v>55.7</v>
      </c>
      <c r="P28" s="164">
        <v>2802</v>
      </c>
      <c r="Q28" s="158">
        <v>1684</v>
      </c>
      <c r="R28" s="796">
        <f t="shared" si="6"/>
        <v>60.1</v>
      </c>
      <c r="S28" s="158">
        <v>1683</v>
      </c>
      <c r="T28" s="796">
        <f t="shared" si="7"/>
        <v>60.1</v>
      </c>
      <c r="U28" s="165">
        <v>1580</v>
      </c>
      <c r="V28" s="161">
        <f t="shared" si="8"/>
        <v>56.3</v>
      </c>
      <c r="W28" s="158">
        <v>1500</v>
      </c>
      <c r="X28" s="156">
        <f t="shared" si="9"/>
        <v>53.6</v>
      </c>
      <c r="Y28" s="158">
        <v>10</v>
      </c>
      <c r="Z28" s="158">
        <v>2</v>
      </c>
      <c r="AA28" s="158">
        <v>1737</v>
      </c>
      <c r="AB28" s="796">
        <f t="shared" si="10"/>
        <v>62</v>
      </c>
      <c r="AC28" s="158">
        <v>1738</v>
      </c>
      <c r="AD28" s="796">
        <f t="shared" si="11"/>
        <v>62</v>
      </c>
      <c r="AE28" s="158">
        <v>1618</v>
      </c>
      <c r="AF28" s="796">
        <f t="shared" si="12"/>
        <v>57.6</v>
      </c>
      <c r="AG28" s="158">
        <v>1618</v>
      </c>
      <c r="AH28" s="796">
        <f t="shared" si="13"/>
        <v>57.6</v>
      </c>
      <c r="AI28" s="158">
        <v>1611</v>
      </c>
      <c r="AJ28" s="796">
        <f t="shared" si="14"/>
        <v>57.4</v>
      </c>
      <c r="AK28" s="2006">
        <v>425</v>
      </c>
      <c r="AL28" s="846">
        <v>2807</v>
      </c>
      <c r="AN28" s="155">
        <v>2798</v>
      </c>
    </row>
    <row r="29" spans="1:40" ht="15.75" customHeight="1" x14ac:dyDescent="0.25">
      <c r="A29" s="849" t="s">
        <v>268</v>
      </c>
      <c r="B29" s="169" t="s">
        <v>27</v>
      </c>
      <c r="C29" s="155">
        <v>22565</v>
      </c>
      <c r="D29" s="158">
        <v>20328</v>
      </c>
      <c r="E29" s="796">
        <f t="shared" si="0"/>
        <v>90.1</v>
      </c>
      <c r="F29" s="158">
        <v>20317</v>
      </c>
      <c r="G29" s="796">
        <f t="shared" si="1"/>
        <v>90</v>
      </c>
      <c r="H29" s="158">
        <v>19597</v>
      </c>
      <c r="I29" s="796">
        <f t="shared" si="2"/>
        <v>86.8</v>
      </c>
      <c r="J29" s="158">
        <v>20305</v>
      </c>
      <c r="K29" s="796">
        <f t="shared" si="3"/>
        <v>90</v>
      </c>
      <c r="L29" s="158">
        <v>20314</v>
      </c>
      <c r="M29" s="796">
        <f t="shared" si="4"/>
        <v>90</v>
      </c>
      <c r="N29" s="158">
        <v>17285</v>
      </c>
      <c r="O29" s="796">
        <f t="shared" si="5"/>
        <v>76.599999999999994</v>
      </c>
      <c r="P29" s="164">
        <v>22500</v>
      </c>
      <c r="Q29" s="158">
        <v>20268</v>
      </c>
      <c r="R29" s="796">
        <f t="shared" si="6"/>
        <v>90.1</v>
      </c>
      <c r="S29" s="158">
        <v>19611</v>
      </c>
      <c r="T29" s="796">
        <f t="shared" si="7"/>
        <v>87.2</v>
      </c>
      <c r="U29" s="165">
        <v>1554</v>
      </c>
      <c r="V29" s="161">
        <f t="shared" si="8"/>
        <v>6.9</v>
      </c>
      <c r="W29" s="158">
        <v>884</v>
      </c>
      <c r="X29" s="156">
        <f t="shared" si="9"/>
        <v>3.9</v>
      </c>
      <c r="Y29" s="158">
        <v>393</v>
      </c>
      <c r="Z29" s="158">
        <v>140</v>
      </c>
      <c r="AA29" s="158">
        <v>18166</v>
      </c>
      <c r="AB29" s="796">
        <f t="shared" si="10"/>
        <v>80.7</v>
      </c>
      <c r="AC29" s="158">
        <v>18167</v>
      </c>
      <c r="AD29" s="796">
        <f t="shared" si="11"/>
        <v>80.7</v>
      </c>
      <c r="AE29" s="158">
        <v>18294</v>
      </c>
      <c r="AF29" s="796">
        <f t="shared" si="12"/>
        <v>81.599999999999994</v>
      </c>
      <c r="AG29" s="158">
        <v>18240</v>
      </c>
      <c r="AH29" s="796">
        <f t="shared" si="13"/>
        <v>81.400000000000006</v>
      </c>
      <c r="AI29" s="158">
        <v>18165</v>
      </c>
      <c r="AJ29" s="796">
        <f t="shared" si="14"/>
        <v>81.099999999999994</v>
      </c>
      <c r="AK29" s="2006">
        <v>12758</v>
      </c>
      <c r="AL29" s="846">
        <v>22411</v>
      </c>
      <c r="AN29" s="155">
        <v>22569</v>
      </c>
    </row>
    <row r="30" spans="1:40" ht="15.75" customHeight="1" x14ac:dyDescent="0.25">
      <c r="A30" s="849" t="s">
        <v>269</v>
      </c>
      <c r="B30" s="169" t="s">
        <v>124</v>
      </c>
      <c r="C30" s="155">
        <v>24048</v>
      </c>
      <c r="D30" s="158">
        <v>20969</v>
      </c>
      <c r="E30" s="796">
        <f t="shared" si="0"/>
        <v>87.2</v>
      </c>
      <c r="F30" s="158">
        <v>20967</v>
      </c>
      <c r="G30" s="796">
        <f t="shared" si="1"/>
        <v>87.2</v>
      </c>
      <c r="H30" s="158">
        <v>15244</v>
      </c>
      <c r="I30" s="796">
        <f t="shared" si="2"/>
        <v>63.4</v>
      </c>
      <c r="J30" s="158">
        <v>20957</v>
      </c>
      <c r="K30" s="796">
        <f t="shared" si="3"/>
        <v>87.1</v>
      </c>
      <c r="L30" s="158">
        <v>20963</v>
      </c>
      <c r="M30" s="796">
        <f t="shared" si="4"/>
        <v>87.2</v>
      </c>
      <c r="N30" s="158">
        <v>10284</v>
      </c>
      <c r="O30" s="796">
        <f t="shared" si="5"/>
        <v>42.8</v>
      </c>
      <c r="P30" s="164">
        <v>23452</v>
      </c>
      <c r="Q30" s="158">
        <v>17162</v>
      </c>
      <c r="R30" s="796">
        <f t="shared" si="6"/>
        <v>73.2</v>
      </c>
      <c r="S30" s="158">
        <v>13962</v>
      </c>
      <c r="T30" s="796">
        <f t="shared" si="7"/>
        <v>59.5</v>
      </c>
      <c r="U30" s="165">
        <v>1487</v>
      </c>
      <c r="V30" s="161">
        <f t="shared" si="8"/>
        <v>6.2</v>
      </c>
      <c r="W30" s="158">
        <v>1053</v>
      </c>
      <c r="X30" s="156">
        <f t="shared" si="9"/>
        <v>4.5</v>
      </c>
      <c r="Y30" s="158">
        <v>297</v>
      </c>
      <c r="Z30" s="158">
        <v>279</v>
      </c>
      <c r="AA30" s="158">
        <v>16101</v>
      </c>
      <c r="AB30" s="796">
        <f t="shared" si="10"/>
        <v>68.7</v>
      </c>
      <c r="AC30" s="158">
        <v>16005</v>
      </c>
      <c r="AD30" s="796">
        <f t="shared" si="11"/>
        <v>68.2</v>
      </c>
      <c r="AE30" s="158">
        <v>12282</v>
      </c>
      <c r="AF30" s="796">
        <f t="shared" si="12"/>
        <v>57.8</v>
      </c>
      <c r="AG30" s="158">
        <v>12185</v>
      </c>
      <c r="AH30" s="796">
        <f t="shared" si="13"/>
        <v>57.4</v>
      </c>
      <c r="AI30" s="158">
        <v>10338</v>
      </c>
      <c r="AJ30" s="796">
        <f t="shared" si="14"/>
        <v>48.7</v>
      </c>
      <c r="AK30" s="2006">
        <v>3778</v>
      </c>
      <c r="AL30" s="846">
        <v>21237</v>
      </c>
      <c r="AN30" s="155">
        <v>23492</v>
      </c>
    </row>
    <row r="31" spans="1:40" ht="15.75" customHeight="1" x14ac:dyDescent="0.25">
      <c r="A31" s="849" t="s">
        <v>270</v>
      </c>
      <c r="B31" s="169" t="s">
        <v>28</v>
      </c>
      <c r="C31" s="155">
        <v>18477</v>
      </c>
      <c r="D31" s="158">
        <v>17622</v>
      </c>
      <c r="E31" s="796">
        <f t="shared" si="0"/>
        <v>95.4</v>
      </c>
      <c r="F31" s="158">
        <v>17616</v>
      </c>
      <c r="G31" s="796">
        <f t="shared" si="1"/>
        <v>95.3</v>
      </c>
      <c r="H31" s="158">
        <v>15613</v>
      </c>
      <c r="I31" s="796">
        <f t="shared" si="2"/>
        <v>84.5</v>
      </c>
      <c r="J31" s="158">
        <v>17616</v>
      </c>
      <c r="K31" s="796">
        <f t="shared" si="3"/>
        <v>95.3</v>
      </c>
      <c r="L31" s="158">
        <v>17616</v>
      </c>
      <c r="M31" s="796">
        <f t="shared" si="4"/>
        <v>95.3</v>
      </c>
      <c r="N31" s="158">
        <v>14960</v>
      </c>
      <c r="O31" s="796">
        <f t="shared" si="5"/>
        <v>81</v>
      </c>
      <c r="P31" s="164">
        <v>18560</v>
      </c>
      <c r="Q31" s="158">
        <v>17753</v>
      </c>
      <c r="R31" s="796">
        <f t="shared" si="6"/>
        <v>95.7</v>
      </c>
      <c r="S31" s="158">
        <v>17780</v>
      </c>
      <c r="T31" s="796">
        <f t="shared" si="7"/>
        <v>95.8</v>
      </c>
      <c r="U31" s="165">
        <v>9116</v>
      </c>
      <c r="V31" s="161">
        <f t="shared" si="8"/>
        <v>49.3</v>
      </c>
      <c r="W31" s="158">
        <v>3117</v>
      </c>
      <c r="X31" s="156">
        <f t="shared" si="9"/>
        <v>16.8</v>
      </c>
      <c r="Y31" s="158">
        <v>88</v>
      </c>
      <c r="Z31" s="158">
        <v>840</v>
      </c>
      <c r="AA31" s="158">
        <v>15706</v>
      </c>
      <c r="AB31" s="796">
        <f t="shared" si="10"/>
        <v>84.6</v>
      </c>
      <c r="AC31" s="158">
        <v>15939</v>
      </c>
      <c r="AD31" s="796">
        <f t="shared" si="11"/>
        <v>85.9</v>
      </c>
      <c r="AE31" s="158">
        <v>14608</v>
      </c>
      <c r="AF31" s="796">
        <f t="shared" si="12"/>
        <v>77.599999999999994</v>
      </c>
      <c r="AG31" s="158">
        <v>14902</v>
      </c>
      <c r="AH31" s="796">
        <f t="shared" si="13"/>
        <v>79.099999999999994</v>
      </c>
      <c r="AI31" s="158">
        <v>14136</v>
      </c>
      <c r="AJ31" s="796">
        <f t="shared" si="14"/>
        <v>75.099999999999994</v>
      </c>
      <c r="AK31" s="2006">
        <v>16682</v>
      </c>
      <c r="AL31" s="846">
        <v>18833</v>
      </c>
      <c r="AN31" s="155">
        <v>18510</v>
      </c>
    </row>
    <row r="32" spans="1:40" ht="15.75" customHeight="1" x14ac:dyDescent="0.25">
      <c r="A32" s="848" t="s">
        <v>271</v>
      </c>
      <c r="B32" s="166" t="s">
        <v>127</v>
      </c>
      <c r="C32" s="155">
        <v>9064</v>
      </c>
      <c r="D32" s="158">
        <v>7774</v>
      </c>
      <c r="E32" s="796">
        <f t="shared" si="0"/>
        <v>85.8</v>
      </c>
      <c r="F32" s="158">
        <v>7772</v>
      </c>
      <c r="G32" s="796">
        <f t="shared" si="1"/>
        <v>85.7</v>
      </c>
      <c r="H32" s="158">
        <v>9361</v>
      </c>
      <c r="I32" s="796">
        <f t="shared" si="2"/>
        <v>103.3</v>
      </c>
      <c r="J32" s="158">
        <v>7772</v>
      </c>
      <c r="K32" s="796">
        <f t="shared" si="3"/>
        <v>85.7</v>
      </c>
      <c r="L32" s="158">
        <v>7756</v>
      </c>
      <c r="M32" s="796">
        <f t="shared" si="4"/>
        <v>85.6</v>
      </c>
      <c r="N32" s="158">
        <v>6628</v>
      </c>
      <c r="O32" s="796">
        <f t="shared" si="5"/>
        <v>73.099999999999994</v>
      </c>
      <c r="P32" s="164">
        <v>9254</v>
      </c>
      <c r="Q32" s="158">
        <v>6500</v>
      </c>
      <c r="R32" s="796">
        <f t="shared" si="6"/>
        <v>70.2</v>
      </c>
      <c r="S32" s="158">
        <v>7602</v>
      </c>
      <c r="T32" s="796">
        <f t="shared" si="7"/>
        <v>82.1</v>
      </c>
      <c r="U32" s="165">
        <v>2269</v>
      </c>
      <c r="V32" s="161">
        <f t="shared" si="8"/>
        <v>25</v>
      </c>
      <c r="W32" s="158">
        <v>332</v>
      </c>
      <c r="X32" s="156">
        <f t="shared" si="9"/>
        <v>3.6</v>
      </c>
      <c r="Y32" s="158">
        <v>3</v>
      </c>
      <c r="Z32" s="158">
        <v>3</v>
      </c>
      <c r="AA32" s="158">
        <v>7039</v>
      </c>
      <c r="AB32" s="796">
        <f t="shared" si="10"/>
        <v>76.099999999999994</v>
      </c>
      <c r="AC32" s="158">
        <v>6949</v>
      </c>
      <c r="AD32" s="796">
        <f t="shared" si="11"/>
        <v>75.099999999999994</v>
      </c>
      <c r="AE32" s="158">
        <v>6219</v>
      </c>
      <c r="AF32" s="796">
        <f t="shared" si="12"/>
        <v>64.599999999999994</v>
      </c>
      <c r="AG32" s="158">
        <v>6166</v>
      </c>
      <c r="AH32" s="796">
        <f t="shared" si="13"/>
        <v>64</v>
      </c>
      <c r="AI32" s="158">
        <v>5447</v>
      </c>
      <c r="AJ32" s="796">
        <f t="shared" si="14"/>
        <v>56.5</v>
      </c>
      <c r="AK32" s="2006">
        <v>1268</v>
      </c>
      <c r="AL32" s="846">
        <v>9634</v>
      </c>
      <c r="AN32" s="155">
        <v>9185</v>
      </c>
    </row>
    <row r="33" spans="1:40" ht="15.75" customHeight="1" x14ac:dyDescent="0.25">
      <c r="A33" s="847" t="s">
        <v>272</v>
      </c>
      <c r="B33" s="162" t="s">
        <v>29</v>
      </c>
      <c r="C33" s="155">
        <v>18081</v>
      </c>
      <c r="D33" s="158">
        <v>17326</v>
      </c>
      <c r="E33" s="796">
        <f t="shared" si="0"/>
        <v>95.8</v>
      </c>
      <c r="F33" s="158">
        <v>17314</v>
      </c>
      <c r="G33" s="796">
        <f t="shared" si="1"/>
        <v>95.8</v>
      </c>
      <c r="H33" s="158">
        <v>16275</v>
      </c>
      <c r="I33" s="796">
        <f t="shared" si="2"/>
        <v>90</v>
      </c>
      <c r="J33" s="158">
        <v>17321</v>
      </c>
      <c r="K33" s="796">
        <f t="shared" si="3"/>
        <v>95.8</v>
      </c>
      <c r="L33" s="158">
        <v>17314</v>
      </c>
      <c r="M33" s="796">
        <f t="shared" si="4"/>
        <v>95.8</v>
      </c>
      <c r="N33" s="158">
        <v>15218</v>
      </c>
      <c r="O33" s="796">
        <f t="shared" si="5"/>
        <v>84.2</v>
      </c>
      <c r="P33" s="164">
        <v>18017</v>
      </c>
      <c r="Q33" s="158">
        <v>16503</v>
      </c>
      <c r="R33" s="796">
        <f t="shared" si="6"/>
        <v>91.6</v>
      </c>
      <c r="S33" s="158">
        <v>16094</v>
      </c>
      <c r="T33" s="796">
        <f t="shared" si="7"/>
        <v>89.3</v>
      </c>
      <c r="U33" s="165">
        <v>642</v>
      </c>
      <c r="V33" s="161">
        <f t="shared" si="8"/>
        <v>3.6</v>
      </c>
      <c r="W33" s="158">
        <v>573</v>
      </c>
      <c r="X33" s="156">
        <f t="shared" si="9"/>
        <v>3.2</v>
      </c>
      <c r="Y33" s="158">
        <v>14</v>
      </c>
      <c r="Z33" s="158">
        <v>5</v>
      </c>
      <c r="AA33" s="158">
        <v>17559</v>
      </c>
      <c r="AB33" s="796">
        <f t="shared" si="10"/>
        <v>97.5</v>
      </c>
      <c r="AC33" s="158">
        <v>17579</v>
      </c>
      <c r="AD33" s="796">
        <f t="shared" si="11"/>
        <v>97.6</v>
      </c>
      <c r="AE33" s="158">
        <v>16022</v>
      </c>
      <c r="AF33" s="796">
        <f t="shared" si="12"/>
        <v>90.4</v>
      </c>
      <c r="AG33" s="158">
        <v>16038</v>
      </c>
      <c r="AH33" s="796">
        <f t="shared" si="13"/>
        <v>90.5</v>
      </c>
      <c r="AI33" s="158">
        <v>15247</v>
      </c>
      <c r="AJ33" s="796">
        <f t="shared" si="14"/>
        <v>86</v>
      </c>
      <c r="AK33" s="2006">
        <v>10534</v>
      </c>
      <c r="AL33" s="846">
        <v>17719</v>
      </c>
      <c r="AN33" s="155">
        <v>17919</v>
      </c>
    </row>
    <row r="34" spans="1:40" ht="15.75" customHeight="1" x14ac:dyDescent="0.25">
      <c r="A34" s="849" t="s">
        <v>273</v>
      </c>
      <c r="B34" s="169" t="s">
        <v>30</v>
      </c>
      <c r="C34" s="155">
        <v>32602</v>
      </c>
      <c r="D34" s="158">
        <v>23676</v>
      </c>
      <c r="E34" s="796">
        <f t="shared" si="0"/>
        <v>72.599999999999994</v>
      </c>
      <c r="F34" s="158">
        <v>23663</v>
      </c>
      <c r="G34" s="796">
        <f t="shared" si="1"/>
        <v>72.599999999999994</v>
      </c>
      <c r="H34" s="158">
        <v>22658</v>
      </c>
      <c r="I34" s="796">
        <f t="shared" si="2"/>
        <v>69.5</v>
      </c>
      <c r="J34" s="158">
        <v>23591</v>
      </c>
      <c r="K34" s="796">
        <f t="shared" si="3"/>
        <v>72.400000000000006</v>
      </c>
      <c r="L34" s="158">
        <v>23560</v>
      </c>
      <c r="M34" s="796">
        <f t="shared" si="4"/>
        <v>72.3</v>
      </c>
      <c r="N34" s="158">
        <v>20107</v>
      </c>
      <c r="O34" s="796">
        <f t="shared" si="5"/>
        <v>61.7</v>
      </c>
      <c r="P34" s="164">
        <v>32703</v>
      </c>
      <c r="Q34" s="158">
        <v>23854</v>
      </c>
      <c r="R34" s="796">
        <f t="shared" si="6"/>
        <v>72.900000000000006</v>
      </c>
      <c r="S34" s="158">
        <v>22459</v>
      </c>
      <c r="T34" s="796">
        <f t="shared" si="7"/>
        <v>68.7</v>
      </c>
      <c r="U34" s="165">
        <v>16380</v>
      </c>
      <c r="V34" s="161">
        <f t="shared" si="8"/>
        <v>50.2</v>
      </c>
      <c r="W34" s="158">
        <v>2840</v>
      </c>
      <c r="X34" s="156">
        <f t="shared" si="9"/>
        <v>8.6999999999999993</v>
      </c>
      <c r="Y34" s="158">
        <v>418</v>
      </c>
      <c r="Z34" s="158">
        <v>268</v>
      </c>
      <c r="AA34" s="158">
        <v>24268</v>
      </c>
      <c r="AB34" s="796">
        <f t="shared" si="10"/>
        <v>74.2</v>
      </c>
      <c r="AC34" s="158">
        <v>24493</v>
      </c>
      <c r="AD34" s="796">
        <f t="shared" si="11"/>
        <v>74.900000000000006</v>
      </c>
      <c r="AE34" s="158">
        <v>24601</v>
      </c>
      <c r="AF34" s="796">
        <f t="shared" si="12"/>
        <v>74.400000000000006</v>
      </c>
      <c r="AG34" s="158">
        <v>24463</v>
      </c>
      <c r="AH34" s="796">
        <f t="shared" si="13"/>
        <v>74</v>
      </c>
      <c r="AI34" s="158">
        <v>24089</v>
      </c>
      <c r="AJ34" s="796">
        <f t="shared" si="14"/>
        <v>72.900000000000006</v>
      </c>
      <c r="AK34" s="2006">
        <v>25144</v>
      </c>
      <c r="AL34" s="846">
        <v>33061</v>
      </c>
      <c r="AN34" s="155">
        <v>32725</v>
      </c>
    </row>
    <row r="35" spans="1:40" ht="15.75" customHeight="1" x14ac:dyDescent="0.25">
      <c r="A35" s="851" t="s">
        <v>274</v>
      </c>
      <c r="B35" s="808" t="s">
        <v>125</v>
      </c>
      <c r="C35" s="155">
        <v>25449</v>
      </c>
      <c r="D35" s="158">
        <v>23156</v>
      </c>
      <c r="E35" s="796">
        <f t="shared" si="0"/>
        <v>91</v>
      </c>
      <c r="F35" s="158">
        <v>23164</v>
      </c>
      <c r="G35" s="796">
        <f t="shared" si="1"/>
        <v>91</v>
      </c>
      <c r="H35" s="158">
        <v>21824</v>
      </c>
      <c r="I35" s="796">
        <f t="shared" si="2"/>
        <v>85.8</v>
      </c>
      <c r="J35" s="158">
        <v>23166</v>
      </c>
      <c r="K35" s="796">
        <f t="shared" si="3"/>
        <v>91</v>
      </c>
      <c r="L35" s="158">
        <v>23164</v>
      </c>
      <c r="M35" s="796">
        <f t="shared" si="4"/>
        <v>91</v>
      </c>
      <c r="N35" s="158">
        <v>20778</v>
      </c>
      <c r="O35" s="796">
        <f t="shared" si="5"/>
        <v>81.599999999999994</v>
      </c>
      <c r="P35" s="164">
        <v>25404</v>
      </c>
      <c r="Q35" s="158">
        <v>24367</v>
      </c>
      <c r="R35" s="796">
        <f t="shared" si="6"/>
        <v>95.9</v>
      </c>
      <c r="S35" s="158">
        <v>24160</v>
      </c>
      <c r="T35" s="796">
        <f t="shared" si="7"/>
        <v>95.1</v>
      </c>
      <c r="U35" s="165">
        <v>9010</v>
      </c>
      <c r="V35" s="161">
        <f t="shared" si="8"/>
        <v>35.4</v>
      </c>
      <c r="W35" s="158">
        <v>938</v>
      </c>
      <c r="X35" s="156">
        <f t="shared" si="9"/>
        <v>3.7</v>
      </c>
      <c r="Y35" s="158">
        <v>121</v>
      </c>
      <c r="Z35" s="158">
        <v>8</v>
      </c>
      <c r="AA35" s="158">
        <v>23840</v>
      </c>
      <c r="AB35" s="796">
        <f t="shared" si="10"/>
        <v>93.8</v>
      </c>
      <c r="AC35" s="158">
        <v>23859</v>
      </c>
      <c r="AD35" s="796">
        <f t="shared" si="11"/>
        <v>93.9</v>
      </c>
      <c r="AE35" s="158">
        <v>21263</v>
      </c>
      <c r="AF35" s="796">
        <f t="shared" si="12"/>
        <v>83.1</v>
      </c>
      <c r="AG35" s="158">
        <v>21244</v>
      </c>
      <c r="AH35" s="796">
        <f t="shared" si="13"/>
        <v>83</v>
      </c>
      <c r="AI35" s="158">
        <v>21347</v>
      </c>
      <c r="AJ35" s="796">
        <f t="shared" si="14"/>
        <v>83.4</v>
      </c>
      <c r="AK35" s="2006">
        <v>11858</v>
      </c>
      <c r="AL35" s="846">
        <v>25597</v>
      </c>
      <c r="AN35" s="155">
        <v>25626</v>
      </c>
    </row>
    <row r="36" spans="1:40" ht="15.75" customHeight="1" x14ac:dyDescent="0.25">
      <c r="A36" s="849" t="s">
        <v>275</v>
      </c>
      <c r="B36" s="169" t="s">
        <v>31</v>
      </c>
      <c r="C36" s="155">
        <v>7952</v>
      </c>
      <c r="D36" s="158">
        <v>7056</v>
      </c>
      <c r="E36" s="796">
        <f t="shared" si="0"/>
        <v>88.7</v>
      </c>
      <c r="F36" s="158">
        <v>7039</v>
      </c>
      <c r="G36" s="796">
        <f t="shared" si="1"/>
        <v>88.5</v>
      </c>
      <c r="H36" s="158">
        <v>6330</v>
      </c>
      <c r="I36" s="796">
        <f t="shared" si="2"/>
        <v>79.599999999999994</v>
      </c>
      <c r="J36" s="158">
        <v>7039</v>
      </c>
      <c r="K36" s="796">
        <f t="shared" si="3"/>
        <v>88.5</v>
      </c>
      <c r="L36" s="158">
        <v>7039</v>
      </c>
      <c r="M36" s="796">
        <f t="shared" si="4"/>
        <v>88.5</v>
      </c>
      <c r="N36" s="158">
        <v>4694</v>
      </c>
      <c r="O36" s="796">
        <f t="shared" si="5"/>
        <v>59</v>
      </c>
      <c r="P36" s="164">
        <v>7921</v>
      </c>
      <c r="Q36" s="158">
        <v>7003</v>
      </c>
      <c r="R36" s="796">
        <f t="shared" si="6"/>
        <v>88.4</v>
      </c>
      <c r="S36" s="158">
        <v>6980</v>
      </c>
      <c r="T36" s="796">
        <f t="shared" si="7"/>
        <v>88.1</v>
      </c>
      <c r="U36" s="165">
        <v>5200</v>
      </c>
      <c r="V36" s="161">
        <f t="shared" si="8"/>
        <v>65.400000000000006</v>
      </c>
      <c r="W36" s="158">
        <v>4728</v>
      </c>
      <c r="X36" s="156">
        <f t="shared" si="9"/>
        <v>59.1</v>
      </c>
      <c r="Y36" s="158">
        <v>119</v>
      </c>
      <c r="Z36" s="158">
        <v>9</v>
      </c>
      <c r="AA36" s="158">
        <v>5943</v>
      </c>
      <c r="AB36" s="796">
        <f t="shared" si="10"/>
        <v>75</v>
      </c>
      <c r="AC36" s="158">
        <v>5826</v>
      </c>
      <c r="AD36" s="796">
        <f t="shared" si="11"/>
        <v>73.599999999999994</v>
      </c>
      <c r="AE36" s="158">
        <v>6052</v>
      </c>
      <c r="AF36" s="796">
        <f t="shared" si="12"/>
        <v>77.5</v>
      </c>
      <c r="AG36" s="158">
        <v>6049</v>
      </c>
      <c r="AH36" s="796">
        <f t="shared" si="13"/>
        <v>77.400000000000006</v>
      </c>
      <c r="AI36" s="158">
        <v>5589</v>
      </c>
      <c r="AJ36" s="796">
        <f t="shared" si="14"/>
        <v>71.5</v>
      </c>
      <c r="AK36" s="2006">
        <v>2688</v>
      </c>
      <c r="AL36" s="846">
        <v>7812</v>
      </c>
      <c r="AN36" s="155">
        <v>8000</v>
      </c>
    </row>
    <row r="37" spans="1:40" ht="15.75" customHeight="1" x14ac:dyDescent="0.25">
      <c r="A37" s="847" t="s">
        <v>276</v>
      </c>
      <c r="B37" s="162" t="s">
        <v>145</v>
      </c>
      <c r="C37" s="155">
        <v>9242</v>
      </c>
      <c r="D37" s="158">
        <v>7142</v>
      </c>
      <c r="E37" s="796">
        <f t="shared" si="0"/>
        <v>77.3</v>
      </c>
      <c r="F37" s="158">
        <v>7435</v>
      </c>
      <c r="G37" s="796">
        <f t="shared" si="1"/>
        <v>80.400000000000006</v>
      </c>
      <c r="H37" s="158">
        <v>7227</v>
      </c>
      <c r="I37" s="796">
        <f t="shared" si="2"/>
        <v>78.2</v>
      </c>
      <c r="J37" s="158">
        <v>7435</v>
      </c>
      <c r="K37" s="796">
        <f t="shared" si="3"/>
        <v>80.400000000000006</v>
      </c>
      <c r="L37" s="158">
        <v>7435</v>
      </c>
      <c r="M37" s="796">
        <f t="shared" si="4"/>
        <v>80.400000000000006</v>
      </c>
      <c r="N37" s="158">
        <v>6226</v>
      </c>
      <c r="O37" s="796">
        <f t="shared" si="5"/>
        <v>67.400000000000006</v>
      </c>
      <c r="P37" s="164">
        <v>9198</v>
      </c>
      <c r="Q37" s="158">
        <v>7301</v>
      </c>
      <c r="R37" s="796">
        <f t="shared" si="6"/>
        <v>79.400000000000006</v>
      </c>
      <c r="S37" s="158">
        <v>7347</v>
      </c>
      <c r="T37" s="796">
        <f t="shared" si="7"/>
        <v>79.900000000000006</v>
      </c>
      <c r="U37" s="165">
        <v>403</v>
      </c>
      <c r="V37" s="161">
        <f t="shared" si="8"/>
        <v>4.4000000000000004</v>
      </c>
      <c r="W37" s="158">
        <v>432</v>
      </c>
      <c r="X37" s="156">
        <f t="shared" si="9"/>
        <v>4.7</v>
      </c>
      <c r="Y37" s="158">
        <v>5</v>
      </c>
      <c r="Z37" s="158">
        <v>12</v>
      </c>
      <c r="AA37" s="158">
        <v>6584</v>
      </c>
      <c r="AB37" s="796">
        <f t="shared" si="10"/>
        <v>71.599999999999994</v>
      </c>
      <c r="AC37" s="158">
        <v>6588</v>
      </c>
      <c r="AD37" s="796">
        <f t="shared" si="11"/>
        <v>71.599999999999994</v>
      </c>
      <c r="AE37" s="158">
        <v>7103</v>
      </c>
      <c r="AF37" s="796">
        <f t="shared" si="12"/>
        <v>77.8</v>
      </c>
      <c r="AG37" s="158">
        <v>7013</v>
      </c>
      <c r="AH37" s="796">
        <f t="shared" si="13"/>
        <v>76.8</v>
      </c>
      <c r="AI37" s="158">
        <v>7183</v>
      </c>
      <c r="AJ37" s="796">
        <f t="shared" si="14"/>
        <v>78.7</v>
      </c>
      <c r="AK37" s="2006">
        <v>8799</v>
      </c>
      <c r="AL37" s="846">
        <v>9127</v>
      </c>
      <c r="AN37" s="155">
        <v>9261</v>
      </c>
    </row>
    <row r="38" spans="1:40" ht="15.75" customHeight="1" x14ac:dyDescent="0.25">
      <c r="A38" s="847" t="s">
        <v>279</v>
      </c>
      <c r="B38" s="162" t="s">
        <v>33</v>
      </c>
      <c r="C38" s="155">
        <v>15383</v>
      </c>
      <c r="D38" s="158">
        <v>11995</v>
      </c>
      <c r="E38" s="796">
        <f t="shared" si="0"/>
        <v>78</v>
      </c>
      <c r="F38" s="158">
        <v>11980</v>
      </c>
      <c r="G38" s="796">
        <f t="shared" si="1"/>
        <v>77.900000000000006</v>
      </c>
      <c r="H38" s="158">
        <v>12260</v>
      </c>
      <c r="I38" s="796">
        <f t="shared" si="2"/>
        <v>79.7</v>
      </c>
      <c r="J38" s="158">
        <v>11980</v>
      </c>
      <c r="K38" s="796">
        <f t="shared" si="3"/>
        <v>77.900000000000006</v>
      </c>
      <c r="L38" s="158">
        <v>11980</v>
      </c>
      <c r="M38" s="796">
        <f t="shared" si="4"/>
        <v>77.900000000000006</v>
      </c>
      <c r="N38" s="158">
        <v>11015</v>
      </c>
      <c r="O38" s="796">
        <f t="shared" si="5"/>
        <v>71.599999999999994</v>
      </c>
      <c r="P38" s="164">
        <v>15325</v>
      </c>
      <c r="Q38" s="158">
        <v>12250</v>
      </c>
      <c r="R38" s="796">
        <f t="shared" si="6"/>
        <v>79.900000000000006</v>
      </c>
      <c r="S38" s="158">
        <v>11614</v>
      </c>
      <c r="T38" s="796">
        <f t="shared" si="7"/>
        <v>75.8</v>
      </c>
      <c r="U38" s="165">
        <v>744</v>
      </c>
      <c r="V38" s="161">
        <f t="shared" si="8"/>
        <v>4.8</v>
      </c>
      <c r="W38" s="158">
        <v>430</v>
      </c>
      <c r="X38" s="156">
        <f t="shared" si="9"/>
        <v>2.8</v>
      </c>
      <c r="Y38" s="158">
        <v>115</v>
      </c>
      <c r="Z38" s="158">
        <v>73</v>
      </c>
      <c r="AA38" s="158">
        <v>12140</v>
      </c>
      <c r="AB38" s="796">
        <f t="shared" si="10"/>
        <v>79.2</v>
      </c>
      <c r="AC38" s="158">
        <v>12178</v>
      </c>
      <c r="AD38" s="796">
        <f t="shared" si="11"/>
        <v>79.5</v>
      </c>
      <c r="AE38" s="158">
        <v>11745</v>
      </c>
      <c r="AF38" s="796">
        <f t="shared" si="12"/>
        <v>76.900000000000006</v>
      </c>
      <c r="AG38" s="158">
        <v>11754</v>
      </c>
      <c r="AH38" s="796">
        <f t="shared" si="13"/>
        <v>77</v>
      </c>
      <c r="AI38" s="158">
        <v>11641</v>
      </c>
      <c r="AJ38" s="796">
        <f t="shared" si="14"/>
        <v>76.2</v>
      </c>
      <c r="AK38" s="2006">
        <v>5078</v>
      </c>
      <c r="AL38" s="846">
        <v>15274</v>
      </c>
      <c r="AN38" s="155">
        <v>15450</v>
      </c>
    </row>
    <row r="39" spans="1:40" ht="15.75" customHeight="1" x14ac:dyDescent="0.25">
      <c r="A39" s="847" t="s">
        <v>278</v>
      </c>
      <c r="B39" s="162" t="s">
        <v>126</v>
      </c>
      <c r="C39" s="155">
        <v>1278</v>
      </c>
      <c r="D39" s="158">
        <v>958</v>
      </c>
      <c r="E39" s="796">
        <f t="shared" si="0"/>
        <v>75</v>
      </c>
      <c r="F39" s="158">
        <v>985</v>
      </c>
      <c r="G39" s="796">
        <f t="shared" si="1"/>
        <v>77.099999999999994</v>
      </c>
      <c r="H39" s="158">
        <v>905</v>
      </c>
      <c r="I39" s="796">
        <f t="shared" si="2"/>
        <v>70.8</v>
      </c>
      <c r="J39" s="158">
        <v>985</v>
      </c>
      <c r="K39" s="796">
        <f t="shared" si="3"/>
        <v>77.099999999999994</v>
      </c>
      <c r="L39" s="158">
        <v>985</v>
      </c>
      <c r="M39" s="796">
        <f t="shared" si="4"/>
        <v>77.099999999999994</v>
      </c>
      <c r="N39" s="158">
        <v>793</v>
      </c>
      <c r="O39" s="796">
        <f t="shared" si="5"/>
        <v>62.1</v>
      </c>
      <c r="P39" s="164">
        <v>1277</v>
      </c>
      <c r="Q39" s="158">
        <v>972</v>
      </c>
      <c r="R39" s="796">
        <f t="shared" si="6"/>
        <v>76.099999999999994</v>
      </c>
      <c r="S39" s="158">
        <v>970</v>
      </c>
      <c r="T39" s="796">
        <f t="shared" si="7"/>
        <v>76</v>
      </c>
      <c r="U39" s="165">
        <v>839</v>
      </c>
      <c r="V39" s="161">
        <f t="shared" si="8"/>
        <v>65.599999999999994</v>
      </c>
      <c r="W39" s="158">
        <v>659</v>
      </c>
      <c r="X39" s="156">
        <f t="shared" si="9"/>
        <v>51.4</v>
      </c>
      <c r="Y39" s="158">
        <v>7</v>
      </c>
      <c r="Z39" s="158">
        <v>39</v>
      </c>
      <c r="AA39" s="158">
        <v>862</v>
      </c>
      <c r="AB39" s="796">
        <f t="shared" si="10"/>
        <v>67.5</v>
      </c>
      <c r="AC39" s="158">
        <v>898</v>
      </c>
      <c r="AD39" s="796">
        <f t="shared" si="11"/>
        <v>70.3</v>
      </c>
      <c r="AE39" s="158">
        <v>761</v>
      </c>
      <c r="AF39" s="796">
        <f t="shared" si="12"/>
        <v>59.6</v>
      </c>
      <c r="AG39" s="158">
        <v>797</v>
      </c>
      <c r="AH39" s="796">
        <f t="shared" si="13"/>
        <v>62.5</v>
      </c>
      <c r="AI39" s="158">
        <v>611</v>
      </c>
      <c r="AJ39" s="796">
        <f t="shared" si="14"/>
        <v>47.9</v>
      </c>
      <c r="AK39" s="2006">
        <v>67</v>
      </c>
      <c r="AL39" s="846">
        <v>1276</v>
      </c>
      <c r="AN39" s="155">
        <v>1283</v>
      </c>
    </row>
    <row r="40" spans="1:40" ht="15.75" customHeight="1" x14ac:dyDescent="0.25">
      <c r="A40" s="847" t="s">
        <v>277</v>
      </c>
      <c r="B40" s="162" t="s">
        <v>35</v>
      </c>
      <c r="C40" s="155">
        <v>33966</v>
      </c>
      <c r="D40" s="158">
        <v>31651</v>
      </c>
      <c r="E40" s="796">
        <f t="shared" si="0"/>
        <v>93.2</v>
      </c>
      <c r="F40" s="158">
        <v>31620</v>
      </c>
      <c r="G40" s="796">
        <f t="shared" si="1"/>
        <v>93.1</v>
      </c>
      <c r="H40" s="158">
        <v>31056</v>
      </c>
      <c r="I40" s="796">
        <f t="shared" si="2"/>
        <v>91.4</v>
      </c>
      <c r="J40" s="158">
        <v>31620</v>
      </c>
      <c r="K40" s="796">
        <f t="shared" si="3"/>
        <v>93.1</v>
      </c>
      <c r="L40" s="158">
        <v>31620</v>
      </c>
      <c r="M40" s="796">
        <f t="shared" si="4"/>
        <v>93.1</v>
      </c>
      <c r="N40" s="158">
        <v>29279</v>
      </c>
      <c r="O40" s="796">
        <f t="shared" si="5"/>
        <v>86.2</v>
      </c>
      <c r="P40" s="164">
        <v>33851</v>
      </c>
      <c r="Q40" s="158">
        <v>31047</v>
      </c>
      <c r="R40" s="796">
        <f t="shared" si="6"/>
        <v>91.7</v>
      </c>
      <c r="S40" s="158">
        <v>31033</v>
      </c>
      <c r="T40" s="796">
        <f t="shared" si="7"/>
        <v>91.7</v>
      </c>
      <c r="U40" s="165">
        <v>6778</v>
      </c>
      <c r="V40" s="161">
        <f t="shared" si="8"/>
        <v>20</v>
      </c>
      <c r="W40" s="158">
        <v>5615</v>
      </c>
      <c r="X40" s="156">
        <f t="shared" si="9"/>
        <v>16.399999999999999</v>
      </c>
      <c r="Y40" s="158">
        <v>2747</v>
      </c>
      <c r="Z40" s="158">
        <v>876</v>
      </c>
      <c r="AA40" s="158">
        <v>29064</v>
      </c>
      <c r="AB40" s="796">
        <f t="shared" si="10"/>
        <v>85.9</v>
      </c>
      <c r="AC40" s="158">
        <v>29215</v>
      </c>
      <c r="AD40" s="796">
        <f t="shared" si="11"/>
        <v>86.3</v>
      </c>
      <c r="AE40" s="158">
        <v>26829</v>
      </c>
      <c r="AF40" s="796">
        <f t="shared" si="12"/>
        <v>79.099999999999994</v>
      </c>
      <c r="AG40" s="158">
        <v>26981</v>
      </c>
      <c r="AH40" s="796">
        <f t="shared" si="13"/>
        <v>79.599999999999994</v>
      </c>
      <c r="AI40" s="158">
        <v>26405</v>
      </c>
      <c r="AJ40" s="796">
        <f t="shared" si="14"/>
        <v>77.900000000000006</v>
      </c>
      <c r="AK40" s="2006">
        <v>20035</v>
      </c>
      <c r="AL40" s="846">
        <v>33903</v>
      </c>
      <c r="AN40" s="155">
        <v>34278</v>
      </c>
    </row>
    <row r="41" spans="1:40" ht="15.75" customHeight="1" x14ac:dyDescent="0.25">
      <c r="A41" s="847" t="s">
        <v>280</v>
      </c>
      <c r="B41" s="162" t="s">
        <v>36</v>
      </c>
      <c r="C41" s="155">
        <v>16873</v>
      </c>
      <c r="D41" s="158">
        <v>16351</v>
      </c>
      <c r="E41" s="796">
        <f t="shared" si="0"/>
        <v>96.9</v>
      </c>
      <c r="F41" s="158">
        <v>16351</v>
      </c>
      <c r="G41" s="796">
        <f t="shared" si="1"/>
        <v>96.9</v>
      </c>
      <c r="H41" s="158">
        <v>15447</v>
      </c>
      <c r="I41" s="796">
        <f t="shared" si="2"/>
        <v>91.5</v>
      </c>
      <c r="J41" s="158">
        <v>16351</v>
      </c>
      <c r="K41" s="796">
        <f t="shared" si="3"/>
        <v>96.9</v>
      </c>
      <c r="L41" s="158">
        <v>16351</v>
      </c>
      <c r="M41" s="796">
        <f t="shared" si="4"/>
        <v>96.9</v>
      </c>
      <c r="N41" s="158">
        <v>14624</v>
      </c>
      <c r="O41" s="796">
        <f t="shared" si="5"/>
        <v>86.7</v>
      </c>
      <c r="P41" s="164">
        <v>16812</v>
      </c>
      <c r="Q41" s="158">
        <v>16324</v>
      </c>
      <c r="R41" s="796">
        <f t="shared" si="6"/>
        <v>97.1</v>
      </c>
      <c r="S41" s="158">
        <v>12995</v>
      </c>
      <c r="T41" s="796">
        <f t="shared" si="7"/>
        <v>77.3</v>
      </c>
      <c r="U41" s="165">
        <v>6958</v>
      </c>
      <c r="V41" s="161">
        <f t="shared" si="8"/>
        <v>41.2</v>
      </c>
      <c r="W41" s="158">
        <v>752</v>
      </c>
      <c r="X41" s="156">
        <f t="shared" si="9"/>
        <v>4.4000000000000004</v>
      </c>
      <c r="Y41" s="158">
        <v>239</v>
      </c>
      <c r="Z41" s="158">
        <v>242</v>
      </c>
      <c r="AA41" s="158">
        <v>16304</v>
      </c>
      <c r="AB41" s="796">
        <f t="shared" si="10"/>
        <v>97</v>
      </c>
      <c r="AC41" s="158">
        <v>16304</v>
      </c>
      <c r="AD41" s="796">
        <f t="shared" si="11"/>
        <v>97</v>
      </c>
      <c r="AE41" s="158">
        <v>14914</v>
      </c>
      <c r="AF41" s="796">
        <f t="shared" si="12"/>
        <v>89.4</v>
      </c>
      <c r="AG41" s="158">
        <v>14914</v>
      </c>
      <c r="AH41" s="796">
        <f t="shared" si="13"/>
        <v>89.4</v>
      </c>
      <c r="AI41" s="158">
        <v>14555</v>
      </c>
      <c r="AJ41" s="796">
        <f t="shared" si="14"/>
        <v>87.3</v>
      </c>
      <c r="AK41" s="2006">
        <v>9757</v>
      </c>
      <c r="AL41" s="846">
        <v>16674</v>
      </c>
      <c r="AN41" s="155">
        <v>16929</v>
      </c>
    </row>
    <row r="42" spans="1:40" ht="15.75" customHeight="1" x14ac:dyDescent="0.25">
      <c r="A42" s="847" t="s">
        <v>281</v>
      </c>
      <c r="B42" s="162" t="s">
        <v>37</v>
      </c>
      <c r="C42" s="155">
        <v>25717</v>
      </c>
      <c r="D42" s="158">
        <v>22892</v>
      </c>
      <c r="E42" s="796">
        <f t="shared" si="0"/>
        <v>89</v>
      </c>
      <c r="F42" s="158">
        <v>22899</v>
      </c>
      <c r="G42" s="796">
        <f t="shared" si="1"/>
        <v>89</v>
      </c>
      <c r="H42" s="158">
        <v>21692</v>
      </c>
      <c r="I42" s="796">
        <f t="shared" si="2"/>
        <v>84.3</v>
      </c>
      <c r="J42" s="158">
        <v>22899</v>
      </c>
      <c r="K42" s="796">
        <f t="shared" si="3"/>
        <v>89</v>
      </c>
      <c r="L42" s="158">
        <v>22899</v>
      </c>
      <c r="M42" s="796">
        <f t="shared" si="4"/>
        <v>89</v>
      </c>
      <c r="N42" s="158">
        <v>17905</v>
      </c>
      <c r="O42" s="796">
        <f t="shared" si="5"/>
        <v>69.599999999999994</v>
      </c>
      <c r="P42" s="164">
        <v>25930</v>
      </c>
      <c r="Q42" s="158">
        <v>22615</v>
      </c>
      <c r="R42" s="796">
        <f t="shared" si="6"/>
        <v>87.2</v>
      </c>
      <c r="S42" s="158">
        <v>22694</v>
      </c>
      <c r="T42" s="796">
        <f t="shared" si="7"/>
        <v>87.5</v>
      </c>
      <c r="U42" s="165">
        <v>2089</v>
      </c>
      <c r="V42" s="161">
        <f t="shared" si="8"/>
        <v>8.1</v>
      </c>
      <c r="W42" s="158">
        <v>1030</v>
      </c>
      <c r="X42" s="156">
        <f t="shared" si="9"/>
        <v>4</v>
      </c>
      <c r="Y42" s="158">
        <v>430</v>
      </c>
      <c r="Z42" s="158">
        <v>346</v>
      </c>
      <c r="AA42" s="158">
        <v>22503</v>
      </c>
      <c r="AB42" s="796">
        <f t="shared" si="10"/>
        <v>86.8</v>
      </c>
      <c r="AC42" s="158">
        <v>22642</v>
      </c>
      <c r="AD42" s="796">
        <f t="shared" si="11"/>
        <v>87.3</v>
      </c>
      <c r="AE42" s="158">
        <v>21595</v>
      </c>
      <c r="AF42" s="796">
        <f t="shared" si="12"/>
        <v>80.900000000000006</v>
      </c>
      <c r="AG42" s="158">
        <v>21765</v>
      </c>
      <c r="AH42" s="796">
        <f t="shared" si="13"/>
        <v>81.599999999999994</v>
      </c>
      <c r="AI42" s="158">
        <v>17652</v>
      </c>
      <c r="AJ42" s="796">
        <f t="shared" si="14"/>
        <v>66.2</v>
      </c>
      <c r="AK42" s="2006">
        <v>17921</v>
      </c>
      <c r="AL42" s="846">
        <v>26679</v>
      </c>
      <c r="AN42" s="155">
        <v>25926</v>
      </c>
    </row>
    <row r="43" spans="1:40" ht="15.75" customHeight="1" x14ac:dyDescent="0.25">
      <c r="A43" s="849" t="s">
        <v>282</v>
      </c>
      <c r="B43" s="169" t="s">
        <v>38</v>
      </c>
      <c r="C43" s="155">
        <v>72781</v>
      </c>
      <c r="D43" s="158">
        <v>69350</v>
      </c>
      <c r="E43" s="796">
        <f t="shared" si="0"/>
        <v>95.3</v>
      </c>
      <c r="F43" s="158">
        <v>69209</v>
      </c>
      <c r="G43" s="796">
        <f t="shared" si="1"/>
        <v>95.1</v>
      </c>
      <c r="H43" s="158">
        <v>61987</v>
      </c>
      <c r="I43" s="796">
        <f t="shared" si="2"/>
        <v>85.2</v>
      </c>
      <c r="J43" s="158">
        <v>69490</v>
      </c>
      <c r="K43" s="796">
        <f t="shared" si="3"/>
        <v>95.5</v>
      </c>
      <c r="L43" s="158">
        <v>69183</v>
      </c>
      <c r="M43" s="796">
        <f t="shared" si="4"/>
        <v>95.1</v>
      </c>
      <c r="N43" s="158">
        <v>46252</v>
      </c>
      <c r="O43" s="796">
        <f t="shared" si="5"/>
        <v>63.5</v>
      </c>
      <c r="P43" s="164">
        <v>72206</v>
      </c>
      <c r="Q43" s="158">
        <v>73172</v>
      </c>
      <c r="R43" s="796">
        <f t="shared" si="6"/>
        <v>101.3</v>
      </c>
      <c r="S43" s="158">
        <v>62944</v>
      </c>
      <c r="T43" s="796">
        <f t="shared" si="7"/>
        <v>87.2</v>
      </c>
      <c r="U43" s="165">
        <v>3786</v>
      </c>
      <c r="V43" s="161">
        <f t="shared" si="8"/>
        <v>5.2</v>
      </c>
      <c r="W43" s="158">
        <v>2543</v>
      </c>
      <c r="X43" s="156">
        <f t="shared" si="9"/>
        <v>3.5</v>
      </c>
      <c r="Y43" s="158">
        <v>524</v>
      </c>
      <c r="Z43" s="158">
        <v>413</v>
      </c>
      <c r="AA43" s="158">
        <v>50438</v>
      </c>
      <c r="AB43" s="796">
        <f t="shared" si="10"/>
        <v>69.900000000000006</v>
      </c>
      <c r="AC43" s="158">
        <v>44787</v>
      </c>
      <c r="AD43" s="796">
        <f t="shared" si="11"/>
        <v>62</v>
      </c>
      <c r="AE43" s="158">
        <v>50289</v>
      </c>
      <c r="AF43" s="796">
        <f t="shared" si="12"/>
        <v>70.599999999999994</v>
      </c>
      <c r="AG43" s="158">
        <v>47340</v>
      </c>
      <c r="AH43" s="796">
        <f t="shared" si="13"/>
        <v>66.5</v>
      </c>
      <c r="AI43" s="158">
        <v>45824</v>
      </c>
      <c r="AJ43" s="796">
        <f t="shared" si="14"/>
        <v>64.400000000000006</v>
      </c>
      <c r="AK43" s="2006">
        <v>27407</v>
      </c>
      <c r="AL43" s="846">
        <v>71187</v>
      </c>
      <c r="AN43" s="155">
        <v>72956</v>
      </c>
    </row>
    <row r="44" spans="1:40" ht="15.75" customHeight="1" x14ac:dyDescent="0.25">
      <c r="A44" s="849" t="s">
        <v>283</v>
      </c>
      <c r="B44" s="169" t="s">
        <v>128</v>
      </c>
      <c r="C44" s="155">
        <v>1230</v>
      </c>
      <c r="D44" s="158">
        <v>902</v>
      </c>
      <c r="E44" s="796">
        <f t="shared" si="0"/>
        <v>73.3</v>
      </c>
      <c r="F44" s="158">
        <v>913</v>
      </c>
      <c r="G44" s="796">
        <f t="shared" si="1"/>
        <v>74.2</v>
      </c>
      <c r="H44" s="158">
        <v>854</v>
      </c>
      <c r="I44" s="796">
        <f t="shared" si="2"/>
        <v>69.400000000000006</v>
      </c>
      <c r="J44" s="158">
        <v>913</v>
      </c>
      <c r="K44" s="796">
        <f t="shared" si="3"/>
        <v>74.2</v>
      </c>
      <c r="L44" s="158">
        <v>913</v>
      </c>
      <c r="M44" s="796">
        <f t="shared" si="4"/>
        <v>74.2</v>
      </c>
      <c r="N44" s="158">
        <v>416</v>
      </c>
      <c r="O44" s="796">
        <f t="shared" si="5"/>
        <v>33.799999999999997</v>
      </c>
      <c r="P44" s="164">
        <v>1212</v>
      </c>
      <c r="Q44" s="158">
        <v>896</v>
      </c>
      <c r="R44" s="796">
        <f t="shared" si="6"/>
        <v>73.900000000000006</v>
      </c>
      <c r="S44" s="158">
        <v>892</v>
      </c>
      <c r="T44" s="796">
        <f t="shared" si="7"/>
        <v>73.599999999999994</v>
      </c>
      <c r="U44" s="165">
        <v>754</v>
      </c>
      <c r="V44" s="161">
        <f t="shared" si="8"/>
        <v>61.3</v>
      </c>
      <c r="W44" s="158">
        <v>448</v>
      </c>
      <c r="X44" s="156">
        <f t="shared" si="9"/>
        <v>35.9</v>
      </c>
      <c r="Y44" s="158">
        <v>30</v>
      </c>
      <c r="Z44" s="158">
        <v>1</v>
      </c>
      <c r="AA44" s="158">
        <v>876</v>
      </c>
      <c r="AB44" s="796">
        <f t="shared" si="10"/>
        <v>72.3</v>
      </c>
      <c r="AC44" s="158">
        <v>874</v>
      </c>
      <c r="AD44" s="796">
        <f t="shared" si="11"/>
        <v>72.099999999999994</v>
      </c>
      <c r="AE44" s="158">
        <v>650</v>
      </c>
      <c r="AF44" s="796">
        <f t="shared" si="12"/>
        <v>56.8</v>
      </c>
      <c r="AG44" s="158">
        <v>642</v>
      </c>
      <c r="AH44" s="796">
        <f t="shared" si="13"/>
        <v>56.1</v>
      </c>
      <c r="AI44" s="158">
        <v>633</v>
      </c>
      <c r="AJ44" s="796">
        <f t="shared" si="14"/>
        <v>55.3</v>
      </c>
      <c r="AK44" s="2006">
        <v>475</v>
      </c>
      <c r="AL44" s="846">
        <v>1144</v>
      </c>
      <c r="AN44" s="155">
        <v>1248</v>
      </c>
    </row>
    <row r="45" spans="1:40" ht="15.75" customHeight="1" thickBot="1" x14ac:dyDescent="0.3">
      <c r="A45" s="852" t="s">
        <v>284</v>
      </c>
      <c r="B45" s="171" t="s">
        <v>40</v>
      </c>
      <c r="C45" s="172">
        <v>1901</v>
      </c>
      <c r="D45" s="173">
        <v>1363</v>
      </c>
      <c r="E45" s="811">
        <f t="shared" si="0"/>
        <v>71.7</v>
      </c>
      <c r="F45" s="173">
        <v>1359</v>
      </c>
      <c r="G45" s="811">
        <f t="shared" si="1"/>
        <v>71.5</v>
      </c>
      <c r="H45" s="173">
        <v>978</v>
      </c>
      <c r="I45" s="811">
        <f t="shared" si="2"/>
        <v>51.4</v>
      </c>
      <c r="J45" s="173">
        <v>1357</v>
      </c>
      <c r="K45" s="811">
        <f t="shared" si="3"/>
        <v>71.400000000000006</v>
      </c>
      <c r="L45" s="173">
        <v>1357</v>
      </c>
      <c r="M45" s="811">
        <f t="shared" si="4"/>
        <v>71.400000000000006</v>
      </c>
      <c r="N45" s="173">
        <v>708</v>
      </c>
      <c r="O45" s="811">
        <f t="shared" si="5"/>
        <v>37.200000000000003</v>
      </c>
      <c r="P45" s="174">
        <v>1877</v>
      </c>
      <c r="Q45" s="173">
        <v>1465</v>
      </c>
      <c r="R45" s="796">
        <f t="shared" si="6"/>
        <v>78.099999999999994</v>
      </c>
      <c r="S45" s="173">
        <v>1048</v>
      </c>
      <c r="T45" s="796">
        <f t="shared" si="7"/>
        <v>55.8</v>
      </c>
      <c r="U45" s="165">
        <v>854</v>
      </c>
      <c r="V45" s="161">
        <f t="shared" si="8"/>
        <v>44.9</v>
      </c>
      <c r="W45" s="158">
        <v>500</v>
      </c>
      <c r="X45" s="156">
        <f t="shared" si="9"/>
        <v>26.3</v>
      </c>
      <c r="Y45" s="158">
        <v>10</v>
      </c>
      <c r="Z45" s="158">
        <v>0</v>
      </c>
      <c r="AA45" s="173">
        <v>1382</v>
      </c>
      <c r="AB45" s="796">
        <f t="shared" si="10"/>
        <v>73.599999999999994</v>
      </c>
      <c r="AC45" s="173">
        <v>1392</v>
      </c>
      <c r="AD45" s="796">
        <f t="shared" si="11"/>
        <v>74.2</v>
      </c>
      <c r="AE45" s="173">
        <v>1039</v>
      </c>
      <c r="AF45" s="796">
        <f t="shared" si="12"/>
        <v>59.1</v>
      </c>
      <c r="AG45" s="173">
        <v>992</v>
      </c>
      <c r="AH45" s="796">
        <f t="shared" si="13"/>
        <v>56.4</v>
      </c>
      <c r="AI45" s="173">
        <v>981</v>
      </c>
      <c r="AJ45" s="796">
        <f t="shared" si="14"/>
        <v>55.8</v>
      </c>
      <c r="AK45" s="2007">
        <v>502</v>
      </c>
      <c r="AL45" s="846">
        <v>1758</v>
      </c>
      <c r="AN45" s="172">
        <v>1898</v>
      </c>
    </row>
    <row r="46" spans="1:40" ht="7.5" customHeight="1" thickBot="1" x14ac:dyDescent="0.25">
      <c r="E46" s="853"/>
      <c r="G46" s="853"/>
      <c r="I46" s="853"/>
      <c r="K46" s="853"/>
      <c r="M46" s="853"/>
      <c r="O46" s="853"/>
      <c r="V46" s="270"/>
      <c r="AL46" s="846"/>
    </row>
    <row r="47" spans="1:40" ht="12.75" thickBot="1" x14ac:dyDescent="0.25">
      <c r="A47" s="854"/>
      <c r="B47" s="854" t="s">
        <v>41</v>
      </c>
      <c r="C47" s="855">
        <f>SUM(C10:C45)</f>
        <v>857416</v>
      </c>
      <c r="D47" s="856">
        <f>SUM(D10:D45)</f>
        <v>754327</v>
      </c>
      <c r="E47" s="857">
        <f>ROUND(D47/$C47*100,1)</f>
        <v>88</v>
      </c>
      <c r="F47" s="858">
        <f>SUM(F10:F45)</f>
        <v>754074</v>
      </c>
      <c r="G47" s="857">
        <f>ROUND(F47/$C47*100,1)</f>
        <v>87.9</v>
      </c>
      <c r="H47" s="858">
        <f>SUM(H10:H45)</f>
        <v>716284</v>
      </c>
      <c r="I47" s="857">
        <f>ROUND(H47/$C47*100,1)</f>
        <v>83.5</v>
      </c>
      <c r="J47" s="858">
        <f>SUM(J10:J45)</f>
        <v>753725</v>
      </c>
      <c r="K47" s="857">
        <f>ROUND(J47/$C47*100,1)</f>
        <v>87.9</v>
      </c>
      <c r="L47" s="858">
        <f>SUM(L10:L45)</f>
        <v>754069</v>
      </c>
      <c r="M47" s="857">
        <f>ROUND(L47/$C47*100,1)</f>
        <v>87.9</v>
      </c>
      <c r="N47" s="858">
        <f>SUM(N10:N45)</f>
        <v>636161</v>
      </c>
      <c r="O47" s="857">
        <f>ROUND(N47/$C47*100,1)</f>
        <v>74.2</v>
      </c>
      <c r="P47" s="858">
        <f>SUM(P10:P45)</f>
        <v>855554</v>
      </c>
      <c r="Q47" s="858">
        <f>SUM(Q10:Q45)</f>
        <v>757098</v>
      </c>
      <c r="R47" s="821">
        <f>ROUND(Q47/$P47*100,1)</f>
        <v>88.5</v>
      </c>
      <c r="S47" s="858">
        <f>SUM(S10:S45)</f>
        <v>671898</v>
      </c>
      <c r="T47" s="821">
        <f>ROUND(S47/$P47*100,1)</f>
        <v>78.5</v>
      </c>
      <c r="U47" s="858">
        <f>SUM(U10:U45)</f>
        <v>286847</v>
      </c>
      <c r="V47" s="269">
        <f>ROUND(U47/C47*100,1)</f>
        <v>33.5</v>
      </c>
      <c r="W47" s="858">
        <f>SUM(W10:W45)</f>
        <v>185946</v>
      </c>
      <c r="X47" s="268">
        <f>ROUND(W47/AN47*100,1)</f>
        <v>21.7</v>
      </c>
      <c r="Y47" s="858">
        <f>SUM(Y10:Y45)</f>
        <v>12175</v>
      </c>
      <c r="Z47" s="858">
        <f>SUM(Z10:Z45)</f>
        <v>9390</v>
      </c>
      <c r="AA47" s="858">
        <f>SUM(AA10:AA45)</f>
        <v>686698</v>
      </c>
      <c r="AB47" s="821">
        <f>ROUND(AA47/$P47*100,1)</f>
        <v>80.3</v>
      </c>
      <c r="AC47" s="858">
        <f>SUM(AC10:AC45)</f>
        <v>683221</v>
      </c>
      <c r="AD47" s="821">
        <f>ROUND(AC47/$P47*100,1)</f>
        <v>79.900000000000006</v>
      </c>
      <c r="AE47" s="858">
        <f>SUM(AE10:AE45)</f>
        <v>656029</v>
      </c>
      <c r="AF47" s="821">
        <f>ROUND(AE47/$AL47*100,1)</f>
        <v>77</v>
      </c>
      <c r="AG47" s="858">
        <f>SUM(AG10:AG45)</f>
        <v>569783</v>
      </c>
      <c r="AH47" s="821">
        <f>ROUND(AG47/$AL47*100,1)</f>
        <v>66.8</v>
      </c>
      <c r="AI47" s="858">
        <f>SUM(AI10:AI45)</f>
        <v>634189</v>
      </c>
      <c r="AJ47" s="821">
        <f>ROUND(AI47/$AL47*100,1)</f>
        <v>74.400000000000006</v>
      </c>
      <c r="AK47" s="859">
        <f>SUM(AK10:AK45)</f>
        <v>483828</v>
      </c>
      <c r="AL47" s="860">
        <f>SUM(AL10:AL46)</f>
        <v>852397</v>
      </c>
      <c r="AN47" s="858">
        <f>SUM(AN10:AN45)</f>
        <v>858137</v>
      </c>
    </row>
    <row r="48" spans="1:40" x14ac:dyDescent="0.2">
      <c r="A48" s="861"/>
      <c r="B48" s="861" t="s">
        <v>206</v>
      </c>
    </row>
    <row r="49" spans="1:19" x14ac:dyDescent="0.2">
      <c r="A49" s="861"/>
      <c r="B49" s="861" t="s">
        <v>224</v>
      </c>
      <c r="C49" s="862">
        <v>40553</v>
      </c>
    </row>
    <row r="50" spans="1:19" x14ac:dyDescent="0.2">
      <c r="A50" s="861"/>
      <c r="B50" s="861" t="s">
        <v>225</v>
      </c>
      <c r="C50" s="862">
        <v>40599</v>
      </c>
    </row>
    <row r="51" spans="1:19" x14ac:dyDescent="0.2">
      <c r="C51" s="844" t="s">
        <v>151</v>
      </c>
      <c r="D51" s="863">
        <v>79</v>
      </c>
    </row>
    <row r="52" spans="1:19" x14ac:dyDescent="0.2">
      <c r="B52" s="844" t="s">
        <v>14</v>
      </c>
      <c r="C52" s="864">
        <f>C13+C14</f>
        <v>42550</v>
      </c>
      <c r="F52" s="864">
        <f>F13+F14</f>
        <v>36923</v>
      </c>
      <c r="G52" s="163">
        <f>(F52/C52)*100</f>
        <v>86.77555816686251</v>
      </c>
      <c r="P52" s="864">
        <f>P13+P14</f>
        <v>42934</v>
      </c>
      <c r="Q52" s="864">
        <f>Q13+Q14</f>
        <v>37935</v>
      </c>
      <c r="R52" s="160">
        <f>(Q52/P52)*100</f>
        <v>88.356547258582935</v>
      </c>
    </row>
    <row r="53" spans="1:19" x14ac:dyDescent="0.2">
      <c r="B53" s="844" t="s">
        <v>62</v>
      </c>
      <c r="C53" s="865">
        <f>C16+C17</f>
        <v>41507</v>
      </c>
      <c r="D53" s="866"/>
      <c r="E53" s="866"/>
      <c r="F53" s="865">
        <f>F16+F17</f>
        <v>39473</v>
      </c>
      <c r="G53" s="163">
        <f>(F53/C53)*100</f>
        <v>95.099621750548096</v>
      </c>
      <c r="H53" s="866"/>
      <c r="I53" s="866"/>
      <c r="J53" s="866"/>
      <c r="K53" s="866"/>
      <c r="L53" s="866"/>
      <c r="M53" s="866"/>
      <c r="N53" s="866"/>
      <c r="O53" s="866"/>
      <c r="P53" s="865">
        <f>P16+P17</f>
        <v>41343</v>
      </c>
      <c r="Q53" s="865">
        <f>Q16+Q17</f>
        <v>39997</v>
      </c>
      <c r="R53" s="160">
        <f>(Q53/P53)*100</f>
        <v>96.744309798514863</v>
      </c>
      <c r="S53" s="867"/>
    </row>
    <row r="54" spans="1:19" x14ac:dyDescent="0.2">
      <c r="B54" s="844" t="s">
        <v>28</v>
      </c>
      <c r="C54" s="865">
        <f>C31+C32</f>
        <v>27541</v>
      </c>
      <c r="D54" s="867"/>
      <c r="E54" s="868"/>
      <c r="F54" s="865">
        <f>F31+F32</f>
        <v>25388</v>
      </c>
      <c r="G54" s="163">
        <f>(F54/C54)*100</f>
        <v>92.182564177045137</v>
      </c>
      <c r="H54" s="868"/>
      <c r="I54" s="868"/>
      <c r="J54" s="868"/>
      <c r="K54" s="868"/>
      <c r="L54" s="868"/>
      <c r="M54" s="868"/>
      <c r="N54" s="868"/>
      <c r="O54" s="868"/>
      <c r="P54" s="865">
        <f>P31+P32</f>
        <v>27814</v>
      </c>
      <c r="Q54" s="865">
        <f>Q31+Q32</f>
        <v>24253</v>
      </c>
      <c r="R54" s="160">
        <f>(Q54/P54)*100</f>
        <v>87.197094988135476</v>
      </c>
      <c r="S54" s="867"/>
    </row>
    <row r="71" spans="3:3" x14ac:dyDescent="0.2">
      <c r="C71" s="846" t="s">
        <v>152</v>
      </c>
    </row>
  </sheetData>
  <conditionalFormatting sqref="E10:E47 G10:G47 I10:I47 K10:K47 M10:M47 O10:O47 T10:T45 T47 AB10:AB45 AB47 AD10:AD45 AD47 AF10:AF45 AF47 AH10:AH45 AH47 AJ10:AJ45 AJ47 R10:R45 R47">
    <cfRule type="cellIs" dxfId="751" priority="9" stopIfTrue="1" operator="between">
      <formula>0.01</formula>
      <formula>49.9</formula>
    </cfRule>
    <cfRule type="cellIs" dxfId="750" priority="10" stopIfTrue="1" operator="between">
      <formula>50</formula>
      <formula>79.9</formula>
    </cfRule>
    <cfRule type="cellIs" dxfId="749" priority="11" stopIfTrue="1" operator="between">
      <formula>80</formula>
      <formula>94.9</formula>
    </cfRule>
    <cfRule type="cellIs" dxfId="748" priority="12" stopIfTrue="1" operator="greaterThanOrEqual">
      <formula>95</formula>
    </cfRule>
  </conditionalFormatting>
  <printOptions horizontalCentered="1"/>
  <pageMargins left="0.74803149606299213" right="0.23622047244094491" top="0.67" bottom="0.43307086614173229" header="0.11811023622047245" footer="0.19685039370078741"/>
  <pageSetup scale="80" orientation="landscape" horizontalDpi="4294967295" verticalDpi="4294967295" r:id="rId1"/>
  <headerFooter alignWithMargins="0">
    <oddHeader>&amp;C&amp;"Arial,Negrita"Ministerio de la Protección Social
República de Colombia</oddHeader>
    <oddFooter>&amp;C&amp;F *** Página &amp;P&amp;RFecha &amp;D ** Pág. &amp;P</oddFooter>
  </headerFooter>
  <colBreaks count="1" manualBreakCount="1">
    <brk id="20" max="1048575" man="1"/>
  </col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FF"/>
  </sheetPr>
  <dimension ref="A5:BB56"/>
  <sheetViews>
    <sheetView zoomScale="90" zoomScaleNormal="90" workbookViewId="0">
      <pane xSplit="3" ySplit="9" topLeftCell="D10" activePane="bottomRight" state="frozen"/>
      <selection activeCell="A4" sqref="A4"/>
      <selection pane="topRight" activeCell="A4" sqref="A4"/>
      <selection pane="bottomLeft" activeCell="A4" sqref="A4"/>
      <selection pane="bottomRight" activeCell="D10" sqref="D10"/>
    </sheetView>
  </sheetViews>
  <sheetFormatPr baseColWidth="10" defaultRowHeight="12" x14ac:dyDescent="0.2"/>
  <cols>
    <col min="1" max="1" width="7.42578125" style="783" bestFit="1" customWidth="1"/>
    <col min="2" max="2" width="22.7109375" style="783" customWidth="1"/>
    <col min="3" max="3" width="13.140625" style="783" customWidth="1"/>
    <col min="4" max="4" width="11.7109375" style="783" customWidth="1"/>
    <col min="5" max="5" width="7.7109375" style="783" customWidth="1"/>
    <col min="6" max="6" width="11.7109375" style="783" customWidth="1"/>
    <col min="7" max="7" width="7.7109375" style="783" customWidth="1"/>
    <col min="8" max="8" width="11.7109375" style="783" customWidth="1"/>
    <col min="9" max="9" width="7.7109375" style="783" customWidth="1"/>
    <col min="10" max="10" width="11.7109375" style="783" customWidth="1"/>
    <col min="11" max="11" width="7.7109375" style="783" customWidth="1"/>
    <col min="12" max="12" width="11.7109375" style="783" customWidth="1"/>
    <col min="13" max="13" width="7.7109375" style="783" customWidth="1"/>
    <col min="14" max="14" width="14.140625" style="783" customWidth="1"/>
    <col min="15" max="15" width="7.7109375" style="783" customWidth="1"/>
    <col min="16" max="16" width="11.7109375" style="783" customWidth="1"/>
    <col min="17" max="17" width="7.7109375" style="783" customWidth="1"/>
    <col min="18" max="18" width="11.7109375" style="783" customWidth="1"/>
    <col min="19" max="19" width="7.7109375" style="783" customWidth="1"/>
    <col min="20" max="20" width="11.7109375" style="783" customWidth="1"/>
    <col min="21" max="21" width="7.7109375" style="783" customWidth="1"/>
    <col min="22" max="22" width="11.7109375" style="783" customWidth="1"/>
    <col min="23" max="23" width="7.7109375" style="783" customWidth="1"/>
    <col min="24" max="24" width="11.85546875" style="783" bestFit="1" customWidth="1"/>
    <col min="25" max="25" width="11.7109375" style="783" customWidth="1"/>
    <col min="26" max="26" width="7.7109375" style="783" customWidth="1"/>
    <col min="27" max="27" width="11.7109375" style="783" customWidth="1"/>
    <col min="28" max="28" width="7.7109375" style="783" customWidth="1"/>
    <col min="29" max="29" width="11.7109375" style="783" customWidth="1"/>
    <col min="30" max="30" width="8.7109375" style="783" customWidth="1"/>
    <col min="31" max="31" width="11.7109375" style="783" customWidth="1"/>
    <col min="32" max="32" width="9.7109375" style="783" customWidth="1"/>
    <col min="33" max="33" width="11.7109375" style="783" customWidth="1"/>
    <col min="34" max="34" width="9.7109375" style="783" customWidth="1"/>
    <col min="35" max="35" width="11.7109375" style="783" customWidth="1"/>
    <col min="36" max="36" width="9.7109375" style="783" customWidth="1"/>
    <col min="37" max="39" width="11.7109375" style="783" customWidth="1"/>
    <col min="40" max="40" width="7.7109375" style="783" customWidth="1"/>
    <col min="41" max="41" width="11.7109375" style="783" customWidth="1"/>
    <col min="42" max="42" width="7.7109375" style="783" customWidth="1"/>
    <col min="43" max="43" width="11.7109375" style="783" customWidth="1"/>
    <col min="44" max="44" width="7.7109375" style="783" customWidth="1"/>
    <col min="45" max="45" width="11.7109375" style="783" customWidth="1"/>
    <col min="46" max="46" width="7.7109375" style="783" customWidth="1"/>
    <col min="47" max="47" width="11.7109375" style="783" customWidth="1"/>
    <col min="48" max="48" width="7.7109375" style="783" customWidth="1"/>
    <col min="49" max="49" width="11.7109375" style="783" customWidth="1"/>
    <col min="50" max="50" width="7.7109375" style="783" customWidth="1"/>
    <col min="51" max="51" width="11.42578125" style="783"/>
    <col min="52" max="52" width="11" style="783" hidden="1" customWidth="1"/>
    <col min="53" max="53" width="11.140625" style="783" hidden="1" customWidth="1"/>
    <col min="54" max="16384" width="11.42578125" style="783"/>
  </cols>
  <sheetData>
    <row r="5" spans="1:54" x14ac:dyDescent="0.2">
      <c r="A5" s="702" t="s">
        <v>305</v>
      </c>
      <c r="C5" s="753" t="s">
        <v>311</v>
      </c>
    </row>
    <row r="6" spans="1:54" x14ac:dyDescent="0.2">
      <c r="A6" s="702" t="s">
        <v>306</v>
      </c>
      <c r="C6" s="776">
        <v>40918</v>
      </c>
    </row>
    <row r="7" spans="1:54" x14ac:dyDescent="0.2">
      <c r="A7" s="702" t="s">
        <v>307</v>
      </c>
      <c r="C7" s="766" t="s">
        <v>312</v>
      </c>
    </row>
    <row r="8" spans="1:54" ht="12.75" thickBot="1" x14ac:dyDescent="0.25">
      <c r="B8" s="702"/>
    </row>
    <row r="9" spans="1:54" s="841" customFormat="1" ht="71.25" customHeight="1" thickBot="1" x14ac:dyDescent="0.25">
      <c r="A9" s="659" t="s">
        <v>140</v>
      </c>
      <c r="B9" s="834" t="s">
        <v>210</v>
      </c>
      <c r="C9" s="835" t="s">
        <v>157</v>
      </c>
      <c r="D9" s="661" t="s">
        <v>158</v>
      </c>
      <c r="E9" s="662" t="s">
        <v>159</v>
      </c>
      <c r="F9" s="663" t="s">
        <v>160</v>
      </c>
      <c r="G9" s="664" t="s">
        <v>161</v>
      </c>
      <c r="H9" s="665" t="s">
        <v>162</v>
      </c>
      <c r="I9" s="666" t="s">
        <v>163</v>
      </c>
      <c r="J9" s="667" t="s">
        <v>237</v>
      </c>
      <c r="K9" s="668" t="s">
        <v>164</v>
      </c>
      <c r="L9" s="621" t="s">
        <v>165</v>
      </c>
      <c r="M9" s="670" t="s">
        <v>166</v>
      </c>
      <c r="N9" s="843" t="s">
        <v>167</v>
      </c>
      <c r="O9" s="668" t="s">
        <v>168</v>
      </c>
      <c r="P9" s="667" t="s">
        <v>169</v>
      </c>
      <c r="Q9" s="668" t="s">
        <v>209</v>
      </c>
      <c r="R9" s="673" t="s">
        <v>170</v>
      </c>
      <c r="S9" s="674" t="s">
        <v>171</v>
      </c>
      <c r="T9" s="675" t="s">
        <v>172</v>
      </c>
      <c r="U9" s="676" t="s">
        <v>173</v>
      </c>
      <c r="V9" s="677" t="s">
        <v>174</v>
      </c>
      <c r="W9" s="678" t="s">
        <v>175</v>
      </c>
      <c r="X9" s="836" t="s">
        <v>176</v>
      </c>
      <c r="Y9" s="681" t="s">
        <v>177</v>
      </c>
      <c r="Z9" s="682" t="s">
        <v>178</v>
      </c>
      <c r="AA9" s="683" t="s">
        <v>179</v>
      </c>
      <c r="AB9" s="684" t="s">
        <v>180</v>
      </c>
      <c r="AC9" s="685" t="s">
        <v>181</v>
      </c>
      <c r="AD9" s="686" t="s">
        <v>182</v>
      </c>
      <c r="AE9" s="687" t="s">
        <v>183</v>
      </c>
      <c r="AF9" s="688" t="s">
        <v>184</v>
      </c>
      <c r="AG9" s="685" t="s">
        <v>185</v>
      </c>
      <c r="AH9" s="689" t="s">
        <v>186</v>
      </c>
      <c r="AI9" s="689" t="s">
        <v>187</v>
      </c>
      <c r="AJ9" s="689" t="s">
        <v>188</v>
      </c>
      <c r="AK9" s="689" t="s">
        <v>189</v>
      </c>
      <c r="AL9" s="686" t="s">
        <v>190</v>
      </c>
      <c r="AM9" s="691" t="s">
        <v>191</v>
      </c>
      <c r="AN9" s="662" t="s">
        <v>192</v>
      </c>
      <c r="AO9" s="692" t="s">
        <v>193</v>
      </c>
      <c r="AP9" s="693" t="s">
        <v>194</v>
      </c>
      <c r="AQ9" s="691" t="s">
        <v>195</v>
      </c>
      <c r="AR9" s="662" t="s">
        <v>196</v>
      </c>
      <c r="AS9" s="695" t="s">
        <v>197</v>
      </c>
      <c r="AT9" s="696" t="s">
        <v>198</v>
      </c>
      <c r="AU9" s="697" t="s">
        <v>199</v>
      </c>
      <c r="AV9" s="698" t="s">
        <v>200</v>
      </c>
      <c r="AW9" s="837" t="s">
        <v>201</v>
      </c>
      <c r="AX9" s="838" t="s">
        <v>202</v>
      </c>
      <c r="AY9" s="782"/>
      <c r="AZ9" s="839" t="s">
        <v>203</v>
      </c>
      <c r="BA9" s="840" t="s">
        <v>204</v>
      </c>
      <c r="BB9" s="782"/>
    </row>
    <row r="10" spans="1:54" ht="15" customHeight="1" x14ac:dyDescent="0.2">
      <c r="A10" s="623">
        <v>91</v>
      </c>
      <c r="B10" s="616" t="s">
        <v>12</v>
      </c>
      <c r="C10" s="784">
        <v>2141</v>
      </c>
      <c r="D10" s="785">
        <v>1571</v>
      </c>
      <c r="E10" s="786">
        <f t="shared" ref="E10:E46" si="0">ROUND(D10/$C10*100,1)</f>
        <v>73.400000000000006</v>
      </c>
      <c r="F10" s="787">
        <v>1668</v>
      </c>
      <c r="G10" s="786">
        <f t="shared" ref="G10:G46" si="1">ROUND(F10/$C10*100,1)</f>
        <v>77.900000000000006</v>
      </c>
      <c r="H10" s="788">
        <v>1590</v>
      </c>
      <c r="I10" s="786">
        <f t="shared" ref="I10:I46" si="2">ROUND(H10/$C10*100,1)</f>
        <v>74.3</v>
      </c>
      <c r="J10" s="788">
        <v>1578</v>
      </c>
      <c r="K10" s="786">
        <f t="shared" ref="K10:K46" si="3">ROUND(J10/$C10*100,1)</f>
        <v>73.7</v>
      </c>
      <c r="L10" s="785">
        <v>1748</v>
      </c>
      <c r="M10" s="786">
        <f t="shared" ref="M10:M46" si="4">ROUND(L10/$C10*100,1)</f>
        <v>81.599999999999994</v>
      </c>
      <c r="N10" s="787">
        <v>1578</v>
      </c>
      <c r="O10" s="786">
        <f t="shared" ref="O10:O46" si="5">ROUND(N10/$C10*100,1)</f>
        <v>73.7</v>
      </c>
      <c r="P10" s="788">
        <v>1578</v>
      </c>
      <c r="Q10" s="786">
        <f t="shared" ref="Q10:Q46" si="6">ROUND(P10/$C10*100,1)</f>
        <v>73.7</v>
      </c>
      <c r="R10" s="785">
        <v>1509</v>
      </c>
      <c r="S10" s="786">
        <f t="shared" ref="S10:S46" si="7">ROUND(R10/$C10*100,1)</f>
        <v>70.5</v>
      </c>
      <c r="T10" s="788">
        <v>1378</v>
      </c>
      <c r="U10" s="786">
        <f t="shared" ref="U10:U46" si="8">ROUND(T10/$C10*100,1)</f>
        <v>64.400000000000006</v>
      </c>
      <c r="V10" s="787">
        <v>909</v>
      </c>
      <c r="W10" s="786">
        <f t="shared" ref="W10:W46" si="9">ROUND(V10/$C10*100,1)</f>
        <v>42.5</v>
      </c>
      <c r="X10" s="789">
        <v>2092</v>
      </c>
      <c r="Y10" s="787">
        <v>1608</v>
      </c>
      <c r="Z10" s="786">
        <f t="shared" ref="Z10:Z46" si="10">ROUND(Y10/$X10*100,1)</f>
        <v>76.900000000000006</v>
      </c>
      <c r="AA10" s="785">
        <v>1616</v>
      </c>
      <c r="AB10" s="786">
        <f t="shared" ref="AB10:AB46" si="11">ROUND(AA10/$X10*100,1)</f>
        <v>77.2</v>
      </c>
      <c r="AC10" s="787">
        <v>1631</v>
      </c>
      <c r="AD10" s="786">
        <f t="shared" ref="AD10:AD46" si="12">ROUND(AC10/$C10*100,1)</f>
        <v>76.2</v>
      </c>
      <c r="AE10" s="788">
        <v>1551</v>
      </c>
      <c r="AF10" s="786">
        <f t="shared" ref="AF10:AF46" si="13">ROUND(AE10/$C10*100,1)</f>
        <v>72.400000000000006</v>
      </c>
      <c r="AG10" s="788">
        <v>1414</v>
      </c>
      <c r="AH10" s="790">
        <f t="shared" ref="AH10:AH46" si="14">ROUND(AG10/$X10*100,1)</f>
        <v>67.599999999999994</v>
      </c>
      <c r="AI10" s="788">
        <v>5</v>
      </c>
      <c r="AJ10" s="790">
        <f t="shared" ref="AJ10:AJ46" si="15">ROUND(AI10/$X10*100,1)</f>
        <v>0.2</v>
      </c>
      <c r="AK10" s="788">
        <v>36</v>
      </c>
      <c r="AL10" s="791">
        <v>5</v>
      </c>
      <c r="AM10" s="785">
        <v>1673</v>
      </c>
      <c r="AN10" s="786">
        <f t="shared" ref="AN10:AN46" si="16">ROUND(AM10/$X10*100,1)</f>
        <v>80</v>
      </c>
      <c r="AO10" s="787">
        <v>1644</v>
      </c>
      <c r="AP10" s="786">
        <f t="shared" ref="AP10:AP46" si="17">ROUND(AO10/$X10*100,1)</f>
        <v>78.599999999999994</v>
      </c>
      <c r="AQ10" s="785">
        <v>1462</v>
      </c>
      <c r="AR10" s="786">
        <f t="shared" ref="AR10:AR46" si="18">ROUND(AQ10/$AZ10*100,1)</f>
        <v>76</v>
      </c>
      <c r="AS10" s="787">
        <v>1466</v>
      </c>
      <c r="AT10" s="786">
        <f t="shared" ref="AT10:AT46" si="19">ROUND(AS10/$AZ10*100,1)</f>
        <v>76.2</v>
      </c>
      <c r="AU10" s="785">
        <v>1429</v>
      </c>
      <c r="AV10" s="786">
        <f t="shared" ref="AV10:AV46" si="20">ROUND(AU10/$AZ10*100,1)</f>
        <v>74.3</v>
      </c>
      <c r="AW10" s="787">
        <v>1727</v>
      </c>
      <c r="AX10" s="792">
        <f t="shared" ref="AX10:AX46" si="21">ROUND(AW10/BA10*100,1)</f>
        <v>22.8</v>
      </c>
      <c r="AZ10" s="783">
        <v>1923</v>
      </c>
      <c r="BA10" s="783">
        <v>7573</v>
      </c>
    </row>
    <row r="11" spans="1:54" ht="15" customHeight="1" x14ac:dyDescent="0.2">
      <c r="A11" s="627" t="s">
        <v>141</v>
      </c>
      <c r="B11" s="272" t="s">
        <v>11</v>
      </c>
      <c r="C11" s="794">
        <v>104461</v>
      </c>
      <c r="D11" s="795">
        <v>74549</v>
      </c>
      <c r="E11" s="796">
        <f t="shared" si="0"/>
        <v>71.400000000000006</v>
      </c>
      <c r="F11" s="797">
        <v>76939</v>
      </c>
      <c r="G11" s="796">
        <f t="shared" si="1"/>
        <v>73.7</v>
      </c>
      <c r="H11" s="798">
        <v>74903</v>
      </c>
      <c r="I11" s="796">
        <f t="shared" si="2"/>
        <v>71.7</v>
      </c>
      <c r="J11" s="798">
        <v>74031</v>
      </c>
      <c r="K11" s="796">
        <f t="shared" si="3"/>
        <v>70.900000000000006</v>
      </c>
      <c r="L11" s="795">
        <v>76700</v>
      </c>
      <c r="M11" s="796">
        <f t="shared" si="4"/>
        <v>73.400000000000006</v>
      </c>
      <c r="N11" s="797">
        <v>73907</v>
      </c>
      <c r="O11" s="796">
        <f t="shared" si="5"/>
        <v>70.8</v>
      </c>
      <c r="P11" s="798">
        <v>74022</v>
      </c>
      <c r="Q11" s="796">
        <f t="shared" si="6"/>
        <v>70.900000000000006</v>
      </c>
      <c r="R11" s="795">
        <v>74955</v>
      </c>
      <c r="S11" s="796">
        <f t="shared" si="7"/>
        <v>71.8</v>
      </c>
      <c r="T11" s="798">
        <v>72103</v>
      </c>
      <c r="U11" s="796">
        <f t="shared" si="8"/>
        <v>69</v>
      </c>
      <c r="V11" s="797">
        <v>33903</v>
      </c>
      <c r="W11" s="796">
        <f t="shared" si="9"/>
        <v>32.5</v>
      </c>
      <c r="X11" s="799">
        <v>103931</v>
      </c>
      <c r="Y11" s="797">
        <v>83143</v>
      </c>
      <c r="Z11" s="796">
        <f t="shared" si="10"/>
        <v>80</v>
      </c>
      <c r="AA11" s="795">
        <v>89631</v>
      </c>
      <c r="AB11" s="796">
        <f t="shared" si="11"/>
        <v>86.2</v>
      </c>
      <c r="AC11" s="797">
        <v>75294</v>
      </c>
      <c r="AD11" s="796">
        <f t="shared" si="12"/>
        <v>72.099999999999994</v>
      </c>
      <c r="AE11" s="798">
        <v>48506</v>
      </c>
      <c r="AF11" s="796">
        <f t="shared" si="13"/>
        <v>46.4</v>
      </c>
      <c r="AG11" s="798">
        <v>10920</v>
      </c>
      <c r="AH11" s="800">
        <f t="shared" si="14"/>
        <v>10.5</v>
      </c>
      <c r="AI11" s="798">
        <v>4784</v>
      </c>
      <c r="AJ11" s="800">
        <f t="shared" si="15"/>
        <v>4.5999999999999996</v>
      </c>
      <c r="AK11" s="798">
        <v>5437</v>
      </c>
      <c r="AL11" s="801">
        <v>211</v>
      </c>
      <c r="AM11" s="795">
        <v>71712</v>
      </c>
      <c r="AN11" s="796">
        <f t="shared" si="16"/>
        <v>69</v>
      </c>
      <c r="AO11" s="797">
        <v>71843</v>
      </c>
      <c r="AP11" s="796">
        <f t="shared" si="17"/>
        <v>69.099999999999994</v>
      </c>
      <c r="AQ11" s="795">
        <v>85692</v>
      </c>
      <c r="AR11" s="796">
        <f t="shared" si="18"/>
        <v>82.9</v>
      </c>
      <c r="AS11" s="797">
        <v>51574</v>
      </c>
      <c r="AT11" s="796">
        <f t="shared" si="19"/>
        <v>49.9</v>
      </c>
      <c r="AU11" s="795">
        <v>37295</v>
      </c>
      <c r="AV11" s="796">
        <f t="shared" si="20"/>
        <v>36.1</v>
      </c>
      <c r="AW11" s="797">
        <v>256887</v>
      </c>
      <c r="AX11" s="800">
        <f t="shared" si="21"/>
        <v>20.2</v>
      </c>
      <c r="AZ11" s="783">
        <v>103383</v>
      </c>
      <c r="BA11" s="783">
        <v>1272852</v>
      </c>
    </row>
    <row r="12" spans="1:54" ht="15" customHeight="1" x14ac:dyDescent="0.2">
      <c r="A12" s="631" t="s">
        <v>255</v>
      </c>
      <c r="B12" s="272" t="s">
        <v>13</v>
      </c>
      <c r="C12" s="794">
        <v>6630</v>
      </c>
      <c r="D12" s="795">
        <v>4717</v>
      </c>
      <c r="E12" s="796">
        <f t="shared" si="0"/>
        <v>71.099999999999994</v>
      </c>
      <c r="F12" s="797">
        <v>4390</v>
      </c>
      <c r="G12" s="796">
        <f t="shared" si="1"/>
        <v>66.2</v>
      </c>
      <c r="H12" s="798">
        <v>4443</v>
      </c>
      <c r="I12" s="796">
        <f t="shared" si="2"/>
        <v>67</v>
      </c>
      <c r="J12" s="798">
        <v>4683</v>
      </c>
      <c r="K12" s="796">
        <f t="shared" si="3"/>
        <v>70.599999999999994</v>
      </c>
      <c r="L12" s="795">
        <v>3363</v>
      </c>
      <c r="M12" s="796">
        <f t="shared" si="4"/>
        <v>50.7</v>
      </c>
      <c r="N12" s="797">
        <v>4723</v>
      </c>
      <c r="O12" s="796">
        <f t="shared" si="5"/>
        <v>71.2</v>
      </c>
      <c r="P12" s="798">
        <v>4714</v>
      </c>
      <c r="Q12" s="796">
        <f t="shared" si="6"/>
        <v>71.099999999999994</v>
      </c>
      <c r="R12" s="795">
        <v>4260</v>
      </c>
      <c r="S12" s="796">
        <f t="shared" si="7"/>
        <v>64.3</v>
      </c>
      <c r="T12" s="798">
        <v>4280</v>
      </c>
      <c r="U12" s="796">
        <f t="shared" si="8"/>
        <v>64.599999999999994</v>
      </c>
      <c r="V12" s="797">
        <v>1264</v>
      </c>
      <c r="W12" s="796">
        <f t="shared" si="9"/>
        <v>19.100000000000001</v>
      </c>
      <c r="X12" s="799">
        <v>6580</v>
      </c>
      <c r="Y12" s="797">
        <v>4794</v>
      </c>
      <c r="Z12" s="796">
        <f t="shared" si="10"/>
        <v>72.900000000000006</v>
      </c>
      <c r="AA12" s="795">
        <v>4467</v>
      </c>
      <c r="AB12" s="796">
        <f t="shared" si="11"/>
        <v>67.900000000000006</v>
      </c>
      <c r="AC12" s="797">
        <v>4257</v>
      </c>
      <c r="AD12" s="796">
        <f t="shared" si="12"/>
        <v>64.2</v>
      </c>
      <c r="AE12" s="798">
        <v>3564</v>
      </c>
      <c r="AF12" s="796">
        <f t="shared" si="13"/>
        <v>53.8</v>
      </c>
      <c r="AG12" s="798">
        <v>829</v>
      </c>
      <c r="AH12" s="800">
        <f t="shared" si="14"/>
        <v>12.6</v>
      </c>
      <c r="AI12" s="798">
        <v>49</v>
      </c>
      <c r="AJ12" s="800">
        <f t="shared" si="15"/>
        <v>0.7</v>
      </c>
      <c r="AK12" s="798">
        <v>23</v>
      </c>
      <c r="AL12" s="801">
        <v>14</v>
      </c>
      <c r="AM12" s="795">
        <v>4898</v>
      </c>
      <c r="AN12" s="796">
        <f t="shared" si="16"/>
        <v>74.400000000000006</v>
      </c>
      <c r="AO12" s="797">
        <v>4852</v>
      </c>
      <c r="AP12" s="796">
        <f t="shared" si="17"/>
        <v>73.7</v>
      </c>
      <c r="AQ12" s="795">
        <v>4904</v>
      </c>
      <c r="AR12" s="796">
        <f t="shared" si="18"/>
        <v>73.3</v>
      </c>
      <c r="AS12" s="797">
        <v>4851</v>
      </c>
      <c r="AT12" s="796">
        <f t="shared" si="19"/>
        <v>72.5</v>
      </c>
      <c r="AU12" s="795">
        <v>4838</v>
      </c>
      <c r="AV12" s="796">
        <f t="shared" si="20"/>
        <v>72.3</v>
      </c>
      <c r="AW12" s="797">
        <v>3686</v>
      </c>
      <c r="AX12" s="800">
        <f t="shared" si="21"/>
        <v>10.7</v>
      </c>
      <c r="AZ12" s="783">
        <v>6688</v>
      </c>
      <c r="BA12" s="783">
        <v>34385</v>
      </c>
    </row>
    <row r="13" spans="1:54" ht="15" customHeight="1" x14ac:dyDescent="0.2">
      <c r="A13" s="631" t="s">
        <v>142</v>
      </c>
      <c r="B13" s="272" t="s">
        <v>14</v>
      </c>
      <c r="C13" s="794">
        <v>22465</v>
      </c>
      <c r="D13" s="795">
        <v>16463</v>
      </c>
      <c r="E13" s="796">
        <f t="shared" si="0"/>
        <v>73.3</v>
      </c>
      <c r="F13" s="797">
        <v>16501</v>
      </c>
      <c r="G13" s="796">
        <f t="shared" si="1"/>
        <v>73.5</v>
      </c>
      <c r="H13" s="798">
        <v>16066</v>
      </c>
      <c r="I13" s="796">
        <f t="shared" si="2"/>
        <v>71.5</v>
      </c>
      <c r="J13" s="798">
        <v>16459</v>
      </c>
      <c r="K13" s="796">
        <f t="shared" si="3"/>
        <v>73.3</v>
      </c>
      <c r="L13" s="795">
        <v>11903</v>
      </c>
      <c r="M13" s="796">
        <f t="shared" si="4"/>
        <v>53</v>
      </c>
      <c r="N13" s="797">
        <v>16489</v>
      </c>
      <c r="O13" s="796">
        <f t="shared" si="5"/>
        <v>73.400000000000006</v>
      </c>
      <c r="P13" s="798">
        <v>16488</v>
      </c>
      <c r="Q13" s="796">
        <f t="shared" si="6"/>
        <v>73.400000000000006</v>
      </c>
      <c r="R13" s="795">
        <v>16018</v>
      </c>
      <c r="S13" s="796">
        <f t="shared" si="7"/>
        <v>71.3</v>
      </c>
      <c r="T13" s="798">
        <v>15761</v>
      </c>
      <c r="U13" s="796">
        <f t="shared" si="8"/>
        <v>70.2</v>
      </c>
      <c r="V13" s="797">
        <v>6079</v>
      </c>
      <c r="W13" s="796">
        <f t="shared" si="9"/>
        <v>27.1</v>
      </c>
      <c r="X13" s="799">
        <v>22529</v>
      </c>
      <c r="Y13" s="797">
        <v>16369</v>
      </c>
      <c r="Z13" s="796">
        <f t="shared" si="10"/>
        <v>72.7</v>
      </c>
      <c r="AA13" s="795">
        <v>17464</v>
      </c>
      <c r="AB13" s="796">
        <f t="shared" si="11"/>
        <v>77.5</v>
      </c>
      <c r="AC13" s="797">
        <v>17344</v>
      </c>
      <c r="AD13" s="796">
        <f t="shared" si="12"/>
        <v>77.2</v>
      </c>
      <c r="AE13" s="798">
        <v>16904</v>
      </c>
      <c r="AF13" s="796">
        <f t="shared" si="13"/>
        <v>75.2</v>
      </c>
      <c r="AG13" s="798">
        <v>13784</v>
      </c>
      <c r="AH13" s="800">
        <f t="shared" si="14"/>
        <v>61.2</v>
      </c>
      <c r="AI13" s="798">
        <v>1656</v>
      </c>
      <c r="AJ13" s="800">
        <f t="shared" si="15"/>
        <v>7.4</v>
      </c>
      <c r="AK13" s="798">
        <v>1071</v>
      </c>
      <c r="AL13" s="801">
        <v>2013</v>
      </c>
      <c r="AM13" s="795">
        <v>16623</v>
      </c>
      <c r="AN13" s="796">
        <f t="shared" si="16"/>
        <v>73.8</v>
      </c>
      <c r="AO13" s="797">
        <v>16622</v>
      </c>
      <c r="AP13" s="796">
        <f t="shared" si="17"/>
        <v>73.8</v>
      </c>
      <c r="AQ13" s="795">
        <v>16170</v>
      </c>
      <c r="AR13" s="796">
        <f t="shared" si="18"/>
        <v>69.900000000000006</v>
      </c>
      <c r="AS13" s="797">
        <v>16200</v>
      </c>
      <c r="AT13" s="796">
        <f t="shared" si="19"/>
        <v>70.099999999999994</v>
      </c>
      <c r="AU13" s="795">
        <v>15784</v>
      </c>
      <c r="AV13" s="796">
        <f t="shared" si="20"/>
        <v>68.3</v>
      </c>
      <c r="AW13" s="797">
        <v>18367</v>
      </c>
      <c r="AX13" s="800">
        <f t="shared" si="21"/>
        <v>9.6</v>
      </c>
      <c r="AZ13" s="783">
        <v>23126</v>
      </c>
      <c r="BA13" s="783">
        <v>191336</v>
      </c>
    </row>
    <row r="14" spans="1:54" ht="15" customHeight="1" x14ac:dyDescent="0.2">
      <c r="A14" s="632" t="s">
        <v>245</v>
      </c>
      <c r="B14" s="272" t="s">
        <v>115</v>
      </c>
      <c r="C14" s="794">
        <v>20161</v>
      </c>
      <c r="D14" s="795">
        <v>20172</v>
      </c>
      <c r="E14" s="796">
        <f t="shared" si="0"/>
        <v>100.1</v>
      </c>
      <c r="F14" s="797">
        <v>21622</v>
      </c>
      <c r="G14" s="796">
        <f t="shared" si="1"/>
        <v>107.2</v>
      </c>
      <c r="H14" s="798">
        <v>20393</v>
      </c>
      <c r="I14" s="796">
        <f t="shared" si="2"/>
        <v>101.2</v>
      </c>
      <c r="J14" s="798">
        <v>20134</v>
      </c>
      <c r="K14" s="796">
        <f t="shared" si="3"/>
        <v>99.9</v>
      </c>
      <c r="L14" s="795">
        <v>23381</v>
      </c>
      <c r="M14" s="796">
        <f t="shared" si="4"/>
        <v>116</v>
      </c>
      <c r="N14" s="797">
        <v>20234</v>
      </c>
      <c r="O14" s="796">
        <f t="shared" si="5"/>
        <v>100.4</v>
      </c>
      <c r="P14" s="798">
        <v>20125</v>
      </c>
      <c r="Q14" s="796">
        <f t="shared" si="6"/>
        <v>99.8</v>
      </c>
      <c r="R14" s="795">
        <v>20020</v>
      </c>
      <c r="S14" s="796">
        <f t="shared" si="7"/>
        <v>99.3</v>
      </c>
      <c r="T14" s="798">
        <v>18630</v>
      </c>
      <c r="U14" s="796">
        <f t="shared" si="8"/>
        <v>92.4</v>
      </c>
      <c r="V14" s="797">
        <v>8103</v>
      </c>
      <c r="W14" s="796">
        <f t="shared" si="9"/>
        <v>40.200000000000003</v>
      </c>
      <c r="X14" s="799">
        <v>20084</v>
      </c>
      <c r="Y14" s="797">
        <v>22637</v>
      </c>
      <c r="Z14" s="796">
        <f t="shared" si="10"/>
        <v>112.7</v>
      </c>
      <c r="AA14" s="795">
        <v>19113</v>
      </c>
      <c r="AB14" s="796">
        <f t="shared" si="11"/>
        <v>95.2</v>
      </c>
      <c r="AC14" s="797">
        <v>22037</v>
      </c>
      <c r="AD14" s="796">
        <f t="shared" si="12"/>
        <v>109.3</v>
      </c>
      <c r="AE14" s="798">
        <v>20091</v>
      </c>
      <c r="AF14" s="796">
        <f t="shared" si="13"/>
        <v>99.7</v>
      </c>
      <c r="AG14" s="798">
        <v>11075</v>
      </c>
      <c r="AH14" s="800">
        <f t="shared" si="14"/>
        <v>55.1</v>
      </c>
      <c r="AI14" s="798">
        <v>1308</v>
      </c>
      <c r="AJ14" s="800">
        <f t="shared" si="15"/>
        <v>6.5</v>
      </c>
      <c r="AK14" s="798">
        <v>963</v>
      </c>
      <c r="AL14" s="801">
        <v>1051</v>
      </c>
      <c r="AM14" s="795">
        <v>18517</v>
      </c>
      <c r="AN14" s="796">
        <f t="shared" si="16"/>
        <v>92.2</v>
      </c>
      <c r="AO14" s="797">
        <v>18405</v>
      </c>
      <c r="AP14" s="796">
        <f t="shared" si="17"/>
        <v>91.6</v>
      </c>
      <c r="AQ14" s="795">
        <v>17997</v>
      </c>
      <c r="AR14" s="796">
        <f t="shared" si="18"/>
        <v>87.7</v>
      </c>
      <c r="AS14" s="797">
        <v>17363</v>
      </c>
      <c r="AT14" s="796">
        <f t="shared" si="19"/>
        <v>84.6</v>
      </c>
      <c r="AU14" s="795">
        <v>18436</v>
      </c>
      <c r="AV14" s="796">
        <f t="shared" si="20"/>
        <v>89.8</v>
      </c>
      <c r="AW14" s="797">
        <v>47691</v>
      </c>
      <c r="AX14" s="800">
        <f t="shared" si="21"/>
        <v>19.7</v>
      </c>
      <c r="AZ14" s="783">
        <v>20526</v>
      </c>
      <c r="BA14" s="783">
        <v>241985</v>
      </c>
    </row>
    <row r="15" spans="1:54" ht="15" customHeight="1" x14ac:dyDescent="0.2">
      <c r="A15" s="631" t="s">
        <v>303</v>
      </c>
      <c r="B15" s="272" t="s">
        <v>116</v>
      </c>
      <c r="C15" s="794">
        <v>120106</v>
      </c>
      <c r="D15" s="795">
        <v>106476</v>
      </c>
      <c r="E15" s="796">
        <f t="shared" si="0"/>
        <v>88.7</v>
      </c>
      <c r="F15" s="797">
        <v>112083</v>
      </c>
      <c r="G15" s="796">
        <f t="shared" si="1"/>
        <v>93.3</v>
      </c>
      <c r="H15" s="798">
        <v>112900</v>
      </c>
      <c r="I15" s="796">
        <f t="shared" si="2"/>
        <v>94</v>
      </c>
      <c r="J15" s="798">
        <v>112626</v>
      </c>
      <c r="K15" s="796">
        <f t="shared" si="3"/>
        <v>93.8</v>
      </c>
      <c r="L15" s="795">
        <v>118012</v>
      </c>
      <c r="M15" s="796">
        <f t="shared" si="4"/>
        <v>98.3</v>
      </c>
      <c r="N15" s="797">
        <v>113326</v>
      </c>
      <c r="O15" s="796">
        <f t="shared" si="5"/>
        <v>94.4</v>
      </c>
      <c r="P15" s="798">
        <v>112626</v>
      </c>
      <c r="Q15" s="796">
        <f t="shared" si="6"/>
        <v>93.8</v>
      </c>
      <c r="R15" s="795">
        <v>106372</v>
      </c>
      <c r="S15" s="796">
        <f t="shared" si="7"/>
        <v>88.6</v>
      </c>
      <c r="T15" s="798">
        <v>105325</v>
      </c>
      <c r="U15" s="796">
        <f t="shared" si="8"/>
        <v>87.7</v>
      </c>
      <c r="V15" s="797">
        <v>39941</v>
      </c>
      <c r="W15" s="796">
        <f t="shared" si="9"/>
        <v>33.299999999999997</v>
      </c>
      <c r="X15" s="799">
        <v>119734</v>
      </c>
      <c r="Y15" s="797">
        <v>110943</v>
      </c>
      <c r="Z15" s="796">
        <f t="shared" si="10"/>
        <v>92.7</v>
      </c>
      <c r="AA15" s="795">
        <v>122271</v>
      </c>
      <c r="AB15" s="796">
        <f t="shared" si="11"/>
        <v>102.1</v>
      </c>
      <c r="AC15" s="797">
        <v>108499</v>
      </c>
      <c r="AD15" s="796">
        <f t="shared" si="12"/>
        <v>90.3</v>
      </c>
      <c r="AE15" s="798">
        <v>108044</v>
      </c>
      <c r="AF15" s="796">
        <f t="shared" si="13"/>
        <v>90</v>
      </c>
      <c r="AG15" s="798">
        <v>109428</v>
      </c>
      <c r="AH15" s="800">
        <f t="shared" si="14"/>
        <v>91.4</v>
      </c>
      <c r="AI15" s="798">
        <v>2073</v>
      </c>
      <c r="AJ15" s="800">
        <f t="shared" si="15"/>
        <v>1.7</v>
      </c>
      <c r="AK15" s="798">
        <v>1589</v>
      </c>
      <c r="AL15" s="801">
        <v>796</v>
      </c>
      <c r="AM15" s="795">
        <v>94082</v>
      </c>
      <c r="AN15" s="796">
        <f t="shared" si="16"/>
        <v>78.599999999999994</v>
      </c>
      <c r="AO15" s="797">
        <v>89039</v>
      </c>
      <c r="AP15" s="796">
        <f t="shared" si="17"/>
        <v>74.400000000000006</v>
      </c>
      <c r="AQ15" s="795">
        <v>93460</v>
      </c>
      <c r="AR15" s="796">
        <f t="shared" si="18"/>
        <v>78.900000000000006</v>
      </c>
      <c r="AS15" s="797">
        <v>98846</v>
      </c>
      <c r="AT15" s="796">
        <f t="shared" si="19"/>
        <v>83.4</v>
      </c>
      <c r="AU15" s="795">
        <v>95667</v>
      </c>
      <c r="AV15" s="796">
        <f t="shared" si="20"/>
        <v>80.8</v>
      </c>
      <c r="AW15" s="797">
        <v>357869</v>
      </c>
      <c r="AX15" s="800">
        <f t="shared" si="21"/>
        <v>23.7</v>
      </c>
      <c r="AZ15" s="783">
        <v>118464</v>
      </c>
      <c r="BA15" s="783">
        <v>1512242</v>
      </c>
    </row>
    <row r="16" spans="1:54" ht="15" customHeight="1" x14ac:dyDescent="0.2">
      <c r="A16" s="631" t="s">
        <v>256</v>
      </c>
      <c r="B16" s="272" t="s">
        <v>62</v>
      </c>
      <c r="C16" s="794">
        <v>24772</v>
      </c>
      <c r="D16" s="795">
        <v>21353</v>
      </c>
      <c r="E16" s="796">
        <f t="shared" si="0"/>
        <v>86.2</v>
      </c>
      <c r="F16" s="797">
        <v>19075</v>
      </c>
      <c r="G16" s="796">
        <f t="shared" si="1"/>
        <v>77</v>
      </c>
      <c r="H16" s="798">
        <v>18426</v>
      </c>
      <c r="I16" s="796">
        <f t="shared" si="2"/>
        <v>74.400000000000006</v>
      </c>
      <c r="J16" s="798">
        <v>21274</v>
      </c>
      <c r="K16" s="796">
        <f t="shared" si="3"/>
        <v>85.9</v>
      </c>
      <c r="L16" s="795">
        <v>16385</v>
      </c>
      <c r="M16" s="796">
        <f t="shared" si="4"/>
        <v>66.099999999999994</v>
      </c>
      <c r="N16" s="797">
        <v>21614</v>
      </c>
      <c r="O16" s="796">
        <f t="shared" si="5"/>
        <v>87.3</v>
      </c>
      <c r="P16" s="798">
        <v>21274</v>
      </c>
      <c r="Q16" s="796">
        <f t="shared" si="6"/>
        <v>85.9</v>
      </c>
      <c r="R16" s="795">
        <v>18712</v>
      </c>
      <c r="S16" s="796">
        <f t="shared" si="7"/>
        <v>75.5</v>
      </c>
      <c r="T16" s="798">
        <v>16871</v>
      </c>
      <c r="U16" s="796">
        <f t="shared" si="8"/>
        <v>68.099999999999994</v>
      </c>
      <c r="V16" s="797">
        <v>10187</v>
      </c>
      <c r="W16" s="796">
        <f t="shared" si="9"/>
        <v>41.1</v>
      </c>
      <c r="X16" s="799">
        <v>24477</v>
      </c>
      <c r="Y16" s="797">
        <v>20403</v>
      </c>
      <c r="Z16" s="796">
        <f t="shared" si="10"/>
        <v>83.4</v>
      </c>
      <c r="AA16" s="795">
        <v>20028</v>
      </c>
      <c r="AB16" s="796">
        <f t="shared" si="11"/>
        <v>81.8</v>
      </c>
      <c r="AC16" s="797">
        <v>19309</v>
      </c>
      <c r="AD16" s="796">
        <f t="shared" si="12"/>
        <v>77.900000000000006</v>
      </c>
      <c r="AE16" s="798">
        <v>17541</v>
      </c>
      <c r="AF16" s="796">
        <f t="shared" si="13"/>
        <v>70.8</v>
      </c>
      <c r="AG16" s="798">
        <v>9177</v>
      </c>
      <c r="AH16" s="800">
        <f t="shared" si="14"/>
        <v>37.5</v>
      </c>
      <c r="AI16" s="798">
        <v>663</v>
      </c>
      <c r="AJ16" s="800">
        <f t="shared" si="15"/>
        <v>2.7</v>
      </c>
      <c r="AK16" s="798">
        <v>337</v>
      </c>
      <c r="AL16" s="801">
        <v>522</v>
      </c>
      <c r="AM16" s="795">
        <v>20852</v>
      </c>
      <c r="AN16" s="796">
        <f t="shared" si="16"/>
        <v>85.2</v>
      </c>
      <c r="AO16" s="797">
        <v>19846</v>
      </c>
      <c r="AP16" s="796">
        <f t="shared" si="17"/>
        <v>81.099999999999994</v>
      </c>
      <c r="AQ16" s="795">
        <v>19426</v>
      </c>
      <c r="AR16" s="796">
        <f t="shared" si="18"/>
        <v>82.3</v>
      </c>
      <c r="AS16" s="797">
        <v>18742</v>
      </c>
      <c r="AT16" s="796">
        <f t="shared" si="19"/>
        <v>79.400000000000006</v>
      </c>
      <c r="AU16" s="795">
        <v>17921</v>
      </c>
      <c r="AV16" s="796">
        <f t="shared" si="20"/>
        <v>75.900000000000006</v>
      </c>
      <c r="AW16" s="797">
        <v>52103</v>
      </c>
      <c r="AX16" s="800">
        <f t="shared" si="21"/>
        <v>29.9</v>
      </c>
      <c r="AZ16" s="783">
        <v>23597</v>
      </c>
      <c r="BA16" s="783">
        <v>174280</v>
      </c>
    </row>
    <row r="17" spans="1:53" ht="15" customHeight="1" x14ac:dyDescent="0.2">
      <c r="A17" s="632" t="s">
        <v>257</v>
      </c>
      <c r="B17" s="272" t="s">
        <v>45</v>
      </c>
      <c r="C17" s="794">
        <v>16838</v>
      </c>
      <c r="D17" s="795">
        <v>16952</v>
      </c>
      <c r="E17" s="796">
        <f t="shared" si="0"/>
        <v>100.7</v>
      </c>
      <c r="F17" s="797">
        <v>19187</v>
      </c>
      <c r="G17" s="796">
        <f t="shared" si="1"/>
        <v>114</v>
      </c>
      <c r="H17" s="798">
        <v>16973</v>
      </c>
      <c r="I17" s="796">
        <f t="shared" si="2"/>
        <v>100.8</v>
      </c>
      <c r="J17" s="798">
        <v>16240</v>
      </c>
      <c r="K17" s="796">
        <f t="shared" si="3"/>
        <v>96.4</v>
      </c>
      <c r="L17" s="795">
        <v>20926</v>
      </c>
      <c r="M17" s="796">
        <f t="shared" si="4"/>
        <v>124.3</v>
      </c>
      <c r="N17" s="797">
        <v>16187</v>
      </c>
      <c r="O17" s="796">
        <f t="shared" si="5"/>
        <v>96.1</v>
      </c>
      <c r="P17" s="798">
        <v>16131</v>
      </c>
      <c r="Q17" s="796">
        <f t="shared" si="6"/>
        <v>95.8</v>
      </c>
      <c r="R17" s="795">
        <v>17226</v>
      </c>
      <c r="S17" s="796">
        <f t="shared" si="7"/>
        <v>102.3</v>
      </c>
      <c r="T17" s="798">
        <v>15297</v>
      </c>
      <c r="U17" s="796">
        <f t="shared" si="8"/>
        <v>90.8</v>
      </c>
      <c r="V17" s="797">
        <v>7321</v>
      </c>
      <c r="W17" s="796">
        <f t="shared" si="9"/>
        <v>43.5</v>
      </c>
      <c r="X17" s="799">
        <v>16976</v>
      </c>
      <c r="Y17" s="797">
        <v>17927</v>
      </c>
      <c r="Z17" s="796">
        <f t="shared" si="10"/>
        <v>105.6</v>
      </c>
      <c r="AA17" s="795">
        <v>15665</v>
      </c>
      <c r="AB17" s="796">
        <f t="shared" si="11"/>
        <v>92.3</v>
      </c>
      <c r="AC17" s="797">
        <v>17872</v>
      </c>
      <c r="AD17" s="796">
        <f t="shared" si="12"/>
        <v>106.1</v>
      </c>
      <c r="AE17" s="798">
        <v>16759</v>
      </c>
      <c r="AF17" s="796">
        <f t="shared" si="13"/>
        <v>99.5</v>
      </c>
      <c r="AG17" s="798">
        <v>9856</v>
      </c>
      <c r="AH17" s="800">
        <f t="shared" si="14"/>
        <v>58.1</v>
      </c>
      <c r="AI17" s="798">
        <v>3348</v>
      </c>
      <c r="AJ17" s="800">
        <f t="shared" si="15"/>
        <v>19.7</v>
      </c>
      <c r="AK17" s="798">
        <v>1170</v>
      </c>
      <c r="AL17" s="801">
        <v>1853</v>
      </c>
      <c r="AM17" s="795">
        <v>18183</v>
      </c>
      <c r="AN17" s="796">
        <f t="shared" si="16"/>
        <v>107.1</v>
      </c>
      <c r="AO17" s="797">
        <v>17658</v>
      </c>
      <c r="AP17" s="796">
        <f t="shared" si="17"/>
        <v>104</v>
      </c>
      <c r="AQ17" s="795">
        <v>16820</v>
      </c>
      <c r="AR17" s="796">
        <f t="shared" si="18"/>
        <v>97.1</v>
      </c>
      <c r="AS17" s="797">
        <v>25193</v>
      </c>
      <c r="AT17" s="796">
        <f t="shared" si="19"/>
        <v>145.4</v>
      </c>
      <c r="AU17" s="795">
        <v>15777</v>
      </c>
      <c r="AV17" s="796">
        <f t="shared" si="20"/>
        <v>91</v>
      </c>
      <c r="AW17" s="797">
        <v>86896</v>
      </c>
      <c r="AX17" s="800">
        <f t="shared" si="21"/>
        <v>48.3</v>
      </c>
      <c r="AZ17" s="783">
        <v>17328</v>
      </c>
      <c r="BA17" s="783">
        <v>180034</v>
      </c>
    </row>
    <row r="18" spans="1:53" ht="15" customHeight="1" x14ac:dyDescent="0.2">
      <c r="A18" s="636" t="s">
        <v>258</v>
      </c>
      <c r="B18" s="272" t="s">
        <v>118</v>
      </c>
      <c r="C18" s="794">
        <v>22473</v>
      </c>
      <c r="D18" s="795">
        <v>19048</v>
      </c>
      <c r="E18" s="796">
        <f t="shared" si="0"/>
        <v>84.8</v>
      </c>
      <c r="F18" s="797">
        <v>17616</v>
      </c>
      <c r="G18" s="796">
        <f t="shared" si="1"/>
        <v>78.400000000000006</v>
      </c>
      <c r="H18" s="798">
        <v>17752</v>
      </c>
      <c r="I18" s="796">
        <f t="shared" si="2"/>
        <v>79</v>
      </c>
      <c r="J18" s="798">
        <v>19067</v>
      </c>
      <c r="K18" s="796">
        <f t="shared" si="3"/>
        <v>84.8</v>
      </c>
      <c r="L18" s="795">
        <v>16893</v>
      </c>
      <c r="M18" s="796">
        <f t="shared" si="4"/>
        <v>75.2</v>
      </c>
      <c r="N18" s="797">
        <v>19063</v>
      </c>
      <c r="O18" s="796">
        <f t="shared" si="5"/>
        <v>84.8</v>
      </c>
      <c r="P18" s="798">
        <v>19067</v>
      </c>
      <c r="Q18" s="796">
        <f t="shared" si="6"/>
        <v>84.8</v>
      </c>
      <c r="R18" s="795">
        <v>17499</v>
      </c>
      <c r="S18" s="796">
        <f t="shared" si="7"/>
        <v>77.900000000000006</v>
      </c>
      <c r="T18" s="798">
        <v>17296</v>
      </c>
      <c r="U18" s="796">
        <f t="shared" si="8"/>
        <v>77</v>
      </c>
      <c r="V18" s="797">
        <v>10055</v>
      </c>
      <c r="W18" s="796">
        <f t="shared" si="9"/>
        <v>44.7</v>
      </c>
      <c r="X18" s="799">
        <v>22760</v>
      </c>
      <c r="Y18" s="797">
        <v>19584</v>
      </c>
      <c r="Z18" s="796">
        <f t="shared" si="10"/>
        <v>86</v>
      </c>
      <c r="AA18" s="795">
        <v>19593</v>
      </c>
      <c r="AB18" s="796">
        <f t="shared" si="11"/>
        <v>86.1</v>
      </c>
      <c r="AC18" s="797">
        <v>18331</v>
      </c>
      <c r="AD18" s="796">
        <f t="shared" si="12"/>
        <v>81.599999999999994</v>
      </c>
      <c r="AE18" s="798">
        <v>19665</v>
      </c>
      <c r="AF18" s="796">
        <f t="shared" si="13"/>
        <v>87.5</v>
      </c>
      <c r="AG18" s="798">
        <v>15138</v>
      </c>
      <c r="AH18" s="800">
        <f t="shared" si="14"/>
        <v>66.5</v>
      </c>
      <c r="AI18" s="798">
        <v>10200</v>
      </c>
      <c r="AJ18" s="800">
        <f t="shared" si="15"/>
        <v>44.8</v>
      </c>
      <c r="AK18" s="798">
        <v>687</v>
      </c>
      <c r="AL18" s="801">
        <v>164</v>
      </c>
      <c r="AM18" s="795">
        <v>18684</v>
      </c>
      <c r="AN18" s="796">
        <f t="shared" si="16"/>
        <v>82.1</v>
      </c>
      <c r="AO18" s="797">
        <v>18806</v>
      </c>
      <c r="AP18" s="796">
        <f t="shared" si="17"/>
        <v>82.6</v>
      </c>
      <c r="AQ18" s="795">
        <v>20952</v>
      </c>
      <c r="AR18" s="796">
        <f t="shared" si="18"/>
        <v>87</v>
      </c>
      <c r="AS18" s="797">
        <v>21023</v>
      </c>
      <c r="AT18" s="796">
        <f t="shared" si="19"/>
        <v>87.3</v>
      </c>
      <c r="AU18" s="795">
        <v>21221</v>
      </c>
      <c r="AV18" s="796">
        <f t="shared" si="20"/>
        <v>88.1</v>
      </c>
      <c r="AW18" s="797">
        <v>63163</v>
      </c>
      <c r="AX18" s="800">
        <f t="shared" si="21"/>
        <v>22.5</v>
      </c>
      <c r="AZ18" s="783">
        <v>24088</v>
      </c>
      <c r="BA18" s="783">
        <v>280560</v>
      </c>
    </row>
    <row r="19" spans="1:53" ht="15" customHeight="1" x14ac:dyDescent="0.2">
      <c r="A19" s="636" t="s">
        <v>259</v>
      </c>
      <c r="B19" s="272" t="s">
        <v>19</v>
      </c>
      <c r="C19" s="794">
        <v>16411</v>
      </c>
      <c r="D19" s="795">
        <v>10640</v>
      </c>
      <c r="E19" s="796">
        <f t="shared" si="0"/>
        <v>64.8</v>
      </c>
      <c r="F19" s="797">
        <v>10240</v>
      </c>
      <c r="G19" s="796">
        <f t="shared" si="1"/>
        <v>62.4</v>
      </c>
      <c r="H19" s="798">
        <v>10220</v>
      </c>
      <c r="I19" s="796">
        <f t="shared" si="2"/>
        <v>62.3</v>
      </c>
      <c r="J19" s="798">
        <v>10645</v>
      </c>
      <c r="K19" s="796">
        <f t="shared" si="3"/>
        <v>64.900000000000006</v>
      </c>
      <c r="L19" s="795">
        <v>9883</v>
      </c>
      <c r="M19" s="796">
        <f t="shared" si="4"/>
        <v>60.2</v>
      </c>
      <c r="N19" s="797">
        <v>10634</v>
      </c>
      <c r="O19" s="796">
        <f t="shared" si="5"/>
        <v>64.8</v>
      </c>
      <c r="P19" s="798">
        <v>10596</v>
      </c>
      <c r="Q19" s="796">
        <f t="shared" si="6"/>
        <v>64.599999999999994</v>
      </c>
      <c r="R19" s="795">
        <v>10245</v>
      </c>
      <c r="S19" s="796">
        <f t="shared" si="7"/>
        <v>62.4</v>
      </c>
      <c r="T19" s="798">
        <v>10049</v>
      </c>
      <c r="U19" s="796">
        <f t="shared" si="8"/>
        <v>61.2</v>
      </c>
      <c r="V19" s="797">
        <v>5412</v>
      </c>
      <c r="W19" s="796">
        <f t="shared" si="9"/>
        <v>33</v>
      </c>
      <c r="X19" s="799">
        <v>16448</v>
      </c>
      <c r="Y19" s="797">
        <v>10924</v>
      </c>
      <c r="Z19" s="796">
        <f t="shared" si="10"/>
        <v>66.400000000000006</v>
      </c>
      <c r="AA19" s="795">
        <v>10632</v>
      </c>
      <c r="AB19" s="796">
        <f t="shared" si="11"/>
        <v>64.599999999999994</v>
      </c>
      <c r="AC19" s="797">
        <v>12041</v>
      </c>
      <c r="AD19" s="796">
        <f t="shared" si="12"/>
        <v>73.400000000000006</v>
      </c>
      <c r="AE19" s="798">
        <v>7949</v>
      </c>
      <c r="AF19" s="796">
        <f t="shared" si="13"/>
        <v>48.4</v>
      </c>
      <c r="AG19" s="798">
        <v>1526</v>
      </c>
      <c r="AH19" s="800">
        <f t="shared" si="14"/>
        <v>9.3000000000000007</v>
      </c>
      <c r="AI19" s="798">
        <v>148</v>
      </c>
      <c r="AJ19" s="800">
        <f t="shared" si="15"/>
        <v>0.9</v>
      </c>
      <c r="AK19" s="798">
        <v>107</v>
      </c>
      <c r="AL19" s="801">
        <v>86</v>
      </c>
      <c r="AM19" s="795">
        <v>11383</v>
      </c>
      <c r="AN19" s="796">
        <f t="shared" si="16"/>
        <v>69.2</v>
      </c>
      <c r="AO19" s="797">
        <v>11007</v>
      </c>
      <c r="AP19" s="796">
        <f t="shared" si="17"/>
        <v>66.900000000000006</v>
      </c>
      <c r="AQ19" s="795">
        <v>11849</v>
      </c>
      <c r="AR19" s="796">
        <f t="shared" si="18"/>
        <v>71.900000000000006</v>
      </c>
      <c r="AS19" s="797">
        <v>11561</v>
      </c>
      <c r="AT19" s="796">
        <f t="shared" si="19"/>
        <v>70.099999999999994</v>
      </c>
      <c r="AU19" s="795">
        <v>10984</v>
      </c>
      <c r="AV19" s="796">
        <f t="shared" si="20"/>
        <v>66.599999999999994</v>
      </c>
      <c r="AW19" s="797">
        <v>42122</v>
      </c>
      <c r="AX19" s="800">
        <f t="shared" si="21"/>
        <v>18.100000000000001</v>
      </c>
      <c r="AZ19" s="783">
        <v>16487</v>
      </c>
      <c r="BA19" s="783">
        <v>232412</v>
      </c>
    </row>
    <row r="20" spans="1:53" ht="15" customHeight="1" x14ac:dyDescent="0.2">
      <c r="A20" s="631" t="s">
        <v>260</v>
      </c>
      <c r="B20" s="272" t="s">
        <v>119</v>
      </c>
      <c r="C20" s="794">
        <v>10807</v>
      </c>
      <c r="D20" s="795">
        <v>9409</v>
      </c>
      <c r="E20" s="796">
        <f t="shared" si="0"/>
        <v>87.1</v>
      </c>
      <c r="F20" s="797">
        <v>7979</v>
      </c>
      <c r="G20" s="796">
        <f t="shared" si="1"/>
        <v>73.8</v>
      </c>
      <c r="H20" s="798">
        <v>8086</v>
      </c>
      <c r="I20" s="796">
        <f t="shared" si="2"/>
        <v>74.8</v>
      </c>
      <c r="J20" s="798">
        <v>9400</v>
      </c>
      <c r="K20" s="796">
        <f t="shared" si="3"/>
        <v>87</v>
      </c>
      <c r="L20" s="795">
        <v>9906</v>
      </c>
      <c r="M20" s="796">
        <f t="shared" si="4"/>
        <v>91.7</v>
      </c>
      <c r="N20" s="797">
        <v>9405</v>
      </c>
      <c r="O20" s="796">
        <f t="shared" si="5"/>
        <v>87</v>
      </c>
      <c r="P20" s="798">
        <v>9402</v>
      </c>
      <c r="Q20" s="796">
        <f t="shared" si="6"/>
        <v>87</v>
      </c>
      <c r="R20" s="795">
        <v>8057</v>
      </c>
      <c r="S20" s="796">
        <f t="shared" si="7"/>
        <v>74.599999999999994</v>
      </c>
      <c r="T20" s="798">
        <v>8108</v>
      </c>
      <c r="U20" s="796">
        <f t="shared" si="8"/>
        <v>75</v>
      </c>
      <c r="V20" s="797">
        <v>2680</v>
      </c>
      <c r="W20" s="796">
        <f t="shared" si="9"/>
        <v>24.8</v>
      </c>
      <c r="X20" s="799">
        <v>10706</v>
      </c>
      <c r="Y20" s="797">
        <v>9134</v>
      </c>
      <c r="Z20" s="806">
        <f t="shared" si="10"/>
        <v>85.3</v>
      </c>
      <c r="AA20" s="795">
        <v>9010</v>
      </c>
      <c r="AB20" s="796">
        <f t="shared" si="11"/>
        <v>84.2</v>
      </c>
      <c r="AC20" s="797">
        <v>8306</v>
      </c>
      <c r="AD20" s="796">
        <f t="shared" si="12"/>
        <v>76.900000000000006</v>
      </c>
      <c r="AE20" s="798">
        <v>8454</v>
      </c>
      <c r="AF20" s="796">
        <f t="shared" si="13"/>
        <v>78.2</v>
      </c>
      <c r="AG20" s="798">
        <v>8744</v>
      </c>
      <c r="AH20" s="800">
        <f t="shared" si="14"/>
        <v>81.7</v>
      </c>
      <c r="AI20" s="798">
        <v>373</v>
      </c>
      <c r="AJ20" s="800">
        <f t="shared" si="15"/>
        <v>3.5</v>
      </c>
      <c r="AK20" s="798">
        <v>245</v>
      </c>
      <c r="AL20" s="801">
        <v>95</v>
      </c>
      <c r="AM20" s="795">
        <v>9144</v>
      </c>
      <c r="AN20" s="796">
        <f t="shared" si="16"/>
        <v>85.4</v>
      </c>
      <c r="AO20" s="797">
        <v>9087</v>
      </c>
      <c r="AP20" s="796">
        <f t="shared" si="17"/>
        <v>84.9</v>
      </c>
      <c r="AQ20" s="795">
        <v>8255</v>
      </c>
      <c r="AR20" s="796">
        <f t="shared" si="18"/>
        <v>77.3</v>
      </c>
      <c r="AS20" s="797">
        <v>8280</v>
      </c>
      <c r="AT20" s="796">
        <f t="shared" si="19"/>
        <v>77.5</v>
      </c>
      <c r="AU20" s="795">
        <v>8047</v>
      </c>
      <c r="AV20" s="796">
        <f t="shared" si="20"/>
        <v>75.3</v>
      </c>
      <c r="AW20" s="797">
        <v>9939</v>
      </c>
      <c r="AX20" s="800">
        <f t="shared" si="21"/>
        <v>14.9</v>
      </c>
      <c r="AZ20" s="783">
        <v>10685</v>
      </c>
      <c r="BA20" s="783">
        <v>66574</v>
      </c>
    </row>
    <row r="21" spans="1:53" ht="15" customHeight="1" x14ac:dyDescent="0.2">
      <c r="A21" s="636" t="s">
        <v>261</v>
      </c>
      <c r="B21" s="272" t="s">
        <v>21</v>
      </c>
      <c r="C21" s="794">
        <v>7088</v>
      </c>
      <c r="D21" s="795">
        <v>6735</v>
      </c>
      <c r="E21" s="796">
        <f t="shared" si="0"/>
        <v>95</v>
      </c>
      <c r="F21" s="797">
        <v>7214</v>
      </c>
      <c r="G21" s="796">
        <f t="shared" si="1"/>
        <v>101.8</v>
      </c>
      <c r="H21" s="798">
        <v>7015</v>
      </c>
      <c r="I21" s="796">
        <f t="shared" si="2"/>
        <v>99</v>
      </c>
      <c r="J21" s="798">
        <v>6735</v>
      </c>
      <c r="K21" s="796">
        <f t="shared" si="3"/>
        <v>95</v>
      </c>
      <c r="L21" s="795">
        <v>7150</v>
      </c>
      <c r="M21" s="796">
        <f t="shared" si="4"/>
        <v>100.9</v>
      </c>
      <c r="N21" s="797">
        <v>6741</v>
      </c>
      <c r="O21" s="796">
        <f t="shared" si="5"/>
        <v>95.1</v>
      </c>
      <c r="P21" s="798">
        <v>6735</v>
      </c>
      <c r="Q21" s="796">
        <f t="shared" si="6"/>
        <v>95</v>
      </c>
      <c r="R21" s="795">
        <v>7264</v>
      </c>
      <c r="S21" s="796">
        <f t="shared" si="7"/>
        <v>102.5</v>
      </c>
      <c r="T21" s="798">
        <v>7047</v>
      </c>
      <c r="U21" s="796">
        <f t="shared" si="8"/>
        <v>99.4</v>
      </c>
      <c r="V21" s="797">
        <v>4078</v>
      </c>
      <c r="W21" s="796">
        <f t="shared" si="9"/>
        <v>57.5</v>
      </c>
      <c r="X21" s="799">
        <v>7092</v>
      </c>
      <c r="Y21" s="797">
        <v>7286</v>
      </c>
      <c r="Z21" s="796">
        <f t="shared" si="10"/>
        <v>102.7</v>
      </c>
      <c r="AA21" s="795">
        <v>7295</v>
      </c>
      <c r="AB21" s="796">
        <f t="shared" si="11"/>
        <v>102.9</v>
      </c>
      <c r="AC21" s="797">
        <v>7306</v>
      </c>
      <c r="AD21" s="796">
        <f t="shared" si="12"/>
        <v>103.1</v>
      </c>
      <c r="AE21" s="798">
        <v>7131</v>
      </c>
      <c r="AF21" s="796">
        <f t="shared" si="13"/>
        <v>100.6</v>
      </c>
      <c r="AG21" s="798">
        <v>7275</v>
      </c>
      <c r="AH21" s="800">
        <f t="shared" si="14"/>
        <v>102.6</v>
      </c>
      <c r="AI21" s="798">
        <v>2</v>
      </c>
      <c r="AJ21" s="800">
        <f t="shared" si="15"/>
        <v>0</v>
      </c>
      <c r="AK21" s="798">
        <v>3</v>
      </c>
      <c r="AL21" s="801">
        <v>1</v>
      </c>
      <c r="AM21" s="795">
        <v>6720</v>
      </c>
      <c r="AN21" s="796">
        <f t="shared" si="16"/>
        <v>94.8</v>
      </c>
      <c r="AO21" s="797">
        <v>6717</v>
      </c>
      <c r="AP21" s="796">
        <f t="shared" si="17"/>
        <v>94.7</v>
      </c>
      <c r="AQ21" s="795">
        <v>6749</v>
      </c>
      <c r="AR21" s="796">
        <f t="shared" si="18"/>
        <v>95.2</v>
      </c>
      <c r="AS21" s="797">
        <v>6751</v>
      </c>
      <c r="AT21" s="796">
        <f t="shared" si="19"/>
        <v>95.2</v>
      </c>
      <c r="AU21" s="795">
        <v>6741</v>
      </c>
      <c r="AV21" s="796">
        <f t="shared" si="20"/>
        <v>95.1</v>
      </c>
      <c r="AW21" s="797">
        <v>7598</v>
      </c>
      <c r="AX21" s="800">
        <f t="shared" si="21"/>
        <v>16.3</v>
      </c>
      <c r="AZ21" s="783">
        <v>7091</v>
      </c>
      <c r="BA21" s="783">
        <v>46552</v>
      </c>
    </row>
    <row r="22" spans="1:53" ht="15" customHeight="1" x14ac:dyDescent="0.2">
      <c r="A22" s="631" t="s">
        <v>262</v>
      </c>
      <c r="B22" s="272" t="s">
        <v>18</v>
      </c>
      <c r="C22" s="794">
        <v>26364</v>
      </c>
      <c r="D22" s="795">
        <v>23028</v>
      </c>
      <c r="E22" s="796">
        <f t="shared" si="0"/>
        <v>87.3</v>
      </c>
      <c r="F22" s="797">
        <v>21991</v>
      </c>
      <c r="G22" s="796">
        <f t="shared" si="1"/>
        <v>83.4</v>
      </c>
      <c r="H22" s="798">
        <v>21353</v>
      </c>
      <c r="I22" s="796">
        <f t="shared" si="2"/>
        <v>81</v>
      </c>
      <c r="J22" s="798">
        <v>23041</v>
      </c>
      <c r="K22" s="796">
        <f t="shared" si="3"/>
        <v>87.4</v>
      </c>
      <c r="L22" s="795">
        <v>20661</v>
      </c>
      <c r="M22" s="796">
        <f t="shared" si="4"/>
        <v>78.400000000000006</v>
      </c>
      <c r="N22" s="797">
        <v>23043</v>
      </c>
      <c r="O22" s="796">
        <f t="shared" si="5"/>
        <v>87.4</v>
      </c>
      <c r="P22" s="798">
        <v>22960</v>
      </c>
      <c r="Q22" s="796">
        <f t="shared" si="6"/>
        <v>87.1</v>
      </c>
      <c r="R22" s="795">
        <v>21078</v>
      </c>
      <c r="S22" s="796">
        <f t="shared" si="7"/>
        <v>79.900000000000006</v>
      </c>
      <c r="T22" s="798">
        <v>20089</v>
      </c>
      <c r="U22" s="796">
        <f t="shared" si="8"/>
        <v>76.2</v>
      </c>
      <c r="V22" s="797">
        <v>11678</v>
      </c>
      <c r="W22" s="796">
        <f t="shared" si="9"/>
        <v>44.3</v>
      </c>
      <c r="X22" s="799">
        <v>26021</v>
      </c>
      <c r="Y22" s="797">
        <v>23280</v>
      </c>
      <c r="Z22" s="796">
        <f t="shared" si="10"/>
        <v>89.5</v>
      </c>
      <c r="AA22" s="795">
        <v>22746</v>
      </c>
      <c r="AB22" s="796">
        <f t="shared" si="11"/>
        <v>87.4</v>
      </c>
      <c r="AC22" s="797">
        <v>23895</v>
      </c>
      <c r="AD22" s="796">
        <f t="shared" si="12"/>
        <v>90.6</v>
      </c>
      <c r="AE22" s="798">
        <v>23289</v>
      </c>
      <c r="AF22" s="796">
        <f t="shared" si="13"/>
        <v>88.3</v>
      </c>
      <c r="AG22" s="798">
        <v>21662</v>
      </c>
      <c r="AH22" s="800">
        <f t="shared" si="14"/>
        <v>83.2</v>
      </c>
      <c r="AI22" s="798">
        <v>843</v>
      </c>
      <c r="AJ22" s="800">
        <f t="shared" si="15"/>
        <v>3.2</v>
      </c>
      <c r="AK22" s="798">
        <v>458</v>
      </c>
      <c r="AL22" s="801">
        <v>1062</v>
      </c>
      <c r="AM22" s="795">
        <v>22721</v>
      </c>
      <c r="AN22" s="796">
        <f t="shared" si="16"/>
        <v>87.3</v>
      </c>
      <c r="AO22" s="797">
        <v>22753</v>
      </c>
      <c r="AP22" s="796">
        <f t="shared" si="17"/>
        <v>87.4</v>
      </c>
      <c r="AQ22" s="795">
        <v>21492</v>
      </c>
      <c r="AR22" s="796">
        <f t="shared" si="18"/>
        <v>82.5</v>
      </c>
      <c r="AS22" s="797">
        <v>21537</v>
      </c>
      <c r="AT22" s="796">
        <f t="shared" si="19"/>
        <v>82.7</v>
      </c>
      <c r="AU22" s="795">
        <v>21159</v>
      </c>
      <c r="AV22" s="796">
        <f t="shared" si="20"/>
        <v>81.2</v>
      </c>
      <c r="AW22" s="797">
        <v>51297</v>
      </c>
      <c r="AX22" s="800">
        <f t="shared" si="21"/>
        <v>21</v>
      </c>
      <c r="AZ22" s="783">
        <v>26050</v>
      </c>
      <c r="BA22" s="783">
        <v>244295</v>
      </c>
    </row>
    <row r="23" spans="1:53" ht="15" customHeight="1" x14ac:dyDescent="0.2">
      <c r="A23" s="631" t="s">
        <v>263</v>
      </c>
      <c r="B23" s="272" t="s">
        <v>22</v>
      </c>
      <c r="C23" s="794">
        <v>22212</v>
      </c>
      <c r="D23" s="795">
        <v>22784</v>
      </c>
      <c r="E23" s="796">
        <f t="shared" si="0"/>
        <v>102.6</v>
      </c>
      <c r="F23" s="797">
        <v>23798</v>
      </c>
      <c r="G23" s="796">
        <f t="shared" si="1"/>
        <v>107.1</v>
      </c>
      <c r="H23" s="798">
        <v>22648</v>
      </c>
      <c r="I23" s="796">
        <f t="shared" si="2"/>
        <v>102</v>
      </c>
      <c r="J23" s="798">
        <v>23321</v>
      </c>
      <c r="K23" s="796">
        <f t="shared" si="3"/>
        <v>105</v>
      </c>
      <c r="L23" s="795">
        <v>25303</v>
      </c>
      <c r="M23" s="796">
        <f t="shared" si="4"/>
        <v>113.9</v>
      </c>
      <c r="N23" s="797">
        <v>23328</v>
      </c>
      <c r="O23" s="796">
        <f t="shared" si="5"/>
        <v>105</v>
      </c>
      <c r="P23" s="798">
        <v>23321</v>
      </c>
      <c r="Q23" s="796">
        <f t="shared" si="6"/>
        <v>105</v>
      </c>
      <c r="R23" s="795">
        <v>23562</v>
      </c>
      <c r="S23" s="796">
        <f t="shared" si="7"/>
        <v>106.1</v>
      </c>
      <c r="T23" s="798">
        <v>22024</v>
      </c>
      <c r="U23" s="796">
        <f t="shared" si="8"/>
        <v>99.2</v>
      </c>
      <c r="V23" s="797">
        <v>12404</v>
      </c>
      <c r="W23" s="796">
        <f t="shared" si="9"/>
        <v>55.8</v>
      </c>
      <c r="X23" s="799">
        <v>22106</v>
      </c>
      <c r="Y23" s="797">
        <v>23894</v>
      </c>
      <c r="Z23" s="796">
        <f t="shared" si="10"/>
        <v>108.1</v>
      </c>
      <c r="AA23" s="795">
        <v>23946</v>
      </c>
      <c r="AB23" s="796">
        <f t="shared" si="11"/>
        <v>108.3</v>
      </c>
      <c r="AC23" s="797">
        <v>25362</v>
      </c>
      <c r="AD23" s="796">
        <f t="shared" si="12"/>
        <v>114.2</v>
      </c>
      <c r="AE23" s="798">
        <v>26657</v>
      </c>
      <c r="AF23" s="796">
        <f t="shared" si="13"/>
        <v>120</v>
      </c>
      <c r="AG23" s="798">
        <v>18096</v>
      </c>
      <c r="AH23" s="800">
        <f t="shared" si="14"/>
        <v>81.900000000000006</v>
      </c>
      <c r="AI23" s="798">
        <v>559</v>
      </c>
      <c r="AJ23" s="800">
        <f t="shared" si="15"/>
        <v>2.5</v>
      </c>
      <c r="AK23" s="798">
        <v>695</v>
      </c>
      <c r="AL23" s="801">
        <v>247</v>
      </c>
      <c r="AM23" s="795">
        <v>21947</v>
      </c>
      <c r="AN23" s="796">
        <f t="shared" si="16"/>
        <v>99.3</v>
      </c>
      <c r="AO23" s="797">
        <v>21931</v>
      </c>
      <c r="AP23" s="796">
        <f t="shared" si="17"/>
        <v>99.2</v>
      </c>
      <c r="AQ23" s="795">
        <v>25388</v>
      </c>
      <c r="AR23" s="796">
        <f t="shared" si="18"/>
        <v>115</v>
      </c>
      <c r="AS23" s="797">
        <v>25384</v>
      </c>
      <c r="AT23" s="796">
        <f t="shared" si="19"/>
        <v>115</v>
      </c>
      <c r="AU23" s="795">
        <v>24371</v>
      </c>
      <c r="AV23" s="796">
        <f t="shared" si="20"/>
        <v>110.4</v>
      </c>
      <c r="AW23" s="797">
        <v>39502</v>
      </c>
      <c r="AX23" s="800">
        <f t="shared" si="21"/>
        <v>26.8</v>
      </c>
      <c r="AZ23" s="783">
        <v>22080</v>
      </c>
      <c r="BA23" s="783">
        <v>147649</v>
      </c>
    </row>
    <row r="24" spans="1:53" ht="15" customHeight="1" x14ac:dyDescent="0.2">
      <c r="A24" s="631" t="s">
        <v>264</v>
      </c>
      <c r="B24" s="272" t="s">
        <v>120</v>
      </c>
      <c r="C24" s="794">
        <v>13483</v>
      </c>
      <c r="D24" s="795">
        <v>8934</v>
      </c>
      <c r="E24" s="796">
        <f t="shared" si="0"/>
        <v>66.3</v>
      </c>
      <c r="F24" s="797">
        <v>10674</v>
      </c>
      <c r="G24" s="796">
        <f t="shared" si="1"/>
        <v>79.2</v>
      </c>
      <c r="H24" s="798">
        <v>9482</v>
      </c>
      <c r="I24" s="796">
        <f t="shared" si="2"/>
        <v>70.3</v>
      </c>
      <c r="J24" s="798">
        <v>8931</v>
      </c>
      <c r="K24" s="796">
        <f t="shared" si="3"/>
        <v>66.2</v>
      </c>
      <c r="L24" s="795">
        <v>10736</v>
      </c>
      <c r="M24" s="796">
        <f t="shared" si="4"/>
        <v>79.599999999999994</v>
      </c>
      <c r="N24" s="797">
        <v>8931</v>
      </c>
      <c r="O24" s="796">
        <f t="shared" si="5"/>
        <v>66.2</v>
      </c>
      <c r="P24" s="798">
        <v>8931</v>
      </c>
      <c r="Q24" s="796">
        <f t="shared" si="6"/>
        <v>66.2</v>
      </c>
      <c r="R24" s="795">
        <v>8501</v>
      </c>
      <c r="S24" s="796">
        <f t="shared" si="7"/>
        <v>63</v>
      </c>
      <c r="T24" s="798">
        <v>7117</v>
      </c>
      <c r="U24" s="796">
        <f t="shared" si="8"/>
        <v>52.8</v>
      </c>
      <c r="V24" s="797">
        <v>4259</v>
      </c>
      <c r="W24" s="796">
        <f t="shared" si="9"/>
        <v>31.6</v>
      </c>
      <c r="X24" s="799">
        <v>13399</v>
      </c>
      <c r="Y24" s="797">
        <v>10470</v>
      </c>
      <c r="Z24" s="796">
        <f t="shared" si="10"/>
        <v>78.099999999999994</v>
      </c>
      <c r="AA24" s="795">
        <v>10457</v>
      </c>
      <c r="AB24" s="796">
        <f t="shared" si="11"/>
        <v>78</v>
      </c>
      <c r="AC24" s="797">
        <v>10009</v>
      </c>
      <c r="AD24" s="796">
        <f t="shared" si="12"/>
        <v>74.2</v>
      </c>
      <c r="AE24" s="798">
        <v>8091</v>
      </c>
      <c r="AF24" s="796">
        <f t="shared" si="13"/>
        <v>60</v>
      </c>
      <c r="AG24" s="798">
        <v>7173</v>
      </c>
      <c r="AH24" s="800">
        <f t="shared" si="14"/>
        <v>53.5</v>
      </c>
      <c r="AI24" s="798">
        <v>847</v>
      </c>
      <c r="AJ24" s="800">
        <f t="shared" si="15"/>
        <v>6.3</v>
      </c>
      <c r="AK24" s="798">
        <v>903</v>
      </c>
      <c r="AL24" s="801">
        <v>189</v>
      </c>
      <c r="AM24" s="795">
        <v>9661</v>
      </c>
      <c r="AN24" s="796">
        <f t="shared" si="16"/>
        <v>72.099999999999994</v>
      </c>
      <c r="AO24" s="797">
        <v>9647</v>
      </c>
      <c r="AP24" s="796">
        <f t="shared" si="17"/>
        <v>72</v>
      </c>
      <c r="AQ24" s="795">
        <v>7764</v>
      </c>
      <c r="AR24" s="796">
        <f t="shared" si="18"/>
        <v>60.4</v>
      </c>
      <c r="AS24" s="797">
        <v>7746</v>
      </c>
      <c r="AT24" s="796">
        <f t="shared" si="19"/>
        <v>60.2</v>
      </c>
      <c r="AU24" s="795">
        <v>7762</v>
      </c>
      <c r="AV24" s="796">
        <f t="shared" si="20"/>
        <v>60.3</v>
      </c>
      <c r="AW24" s="797">
        <v>17010</v>
      </c>
      <c r="AX24" s="800">
        <f t="shared" si="21"/>
        <v>27.7</v>
      </c>
      <c r="AZ24" s="783">
        <v>12863</v>
      </c>
      <c r="BA24" s="783">
        <v>61387</v>
      </c>
    </row>
    <row r="25" spans="1:53" ht="15" customHeight="1" x14ac:dyDescent="0.2">
      <c r="A25" s="631" t="s">
        <v>265</v>
      </c>
      <c r="B25" s="272" t="s">
        <v>121</v>
      </c>
      <c r="C25" s="794">
        <v>36156</v>
      </c>
      <c r="D25" s="795">
        <v>33549</v>
      </c>
      <c r="E25" s="796">
        <f t="shared" si="0"/>
        <v>92.8</v>
      </c>
      <c r="F25" s="797">
        <v>31152</v>
      </c>
      <c r="G25" s="796">
        <f t="shared" si="1"/>
        <v>86.2</v>
      </c>
      <c r="H25" s="798">
        <v>29624</v>
      </c>
      <c r="I25" s="796">
        <f t="shared" si="2"/>
        <v>81.900000000000006</v>
      </c>
      <c r="J25" s="798">
        <v>33512</v>
      </c>
      <c r="K25" s="796">
        <f t="shared" si="3"/>
        <v>92.7</v>
      </c>
      <c r="L25" s="795">
        <v>32506</v>
      </c>
      <c r="M25" s="796">
        <f t="shared" si="4"/>
        <v>89.9</v>
      </c>
      <c r="N25" s="797">
        <v>33462</v>
      </c>
      <c r="O25" s="796">
        <f t="shared" si="5"/>
        <v>92.5</v>
      </c>
      <c r="P25" s="798">
        <v>33454</v>
      </c>
      <c r="Q25" s="796">
        <f t="shared" si="6"/>
        <v>92.5</v>
      </c>
      <c r="R25" s="795">
        <v>29993</v>
      </c>
      <c r="S25" s="796">
        <f t="shared" si="7"/>
        <v>83</v>
      </c>
      <c r="T25" s="798">
        <v>29308</v>
      </c>
      <c r="U25" s="796">
        <f t="shared" si="8"/>
        <v>81.099999999999994</v>
      </c>
      <c r="V25" s="797">
        <v>12712</v>
      </c>
      <c r="W25" s="796">
        <f t="shared" si="9"/>
        <v>35.200000000000003</v>
      </c>
      <c r="X25" s="799">
        <v>35867</v>
      </c>
      <c r="Y25" s="797">
        <v>33215</v>
      </c>
      <c r="Z25" s="796">
        <f t="shared" si="10"/>
        <v>92.6</v>
      </c>
      <c r="AA25" s="795">
        <v>28995</v>
      </c>
      <c r="AB25" s="796">
        <f t="shared" si="11"/>
        <v>80.8</v>
      </c>
      <c r="AC25" s="797">
        <v>31322</v>
      </c>
      <c r="AD25" s="796">
        <f t="shared" si="12"/>
        <v>86.6</v>
      </c>
      <c r="AE25" s="798">
        <v>30956</v>
      </c>
      <c r="AF25" s="796">
        <f t="shared" si="13"/>
        <v>85.6</v>
      </c>
      <c r="AG25" s="798">
        <v>16546</v>
      </c>
      <c r="AH25" s="800">
        <f t="shared" si="14"/>
        <v>46.1</v>
      </c>
      <c r="AI25" s="798">
        <v>2295</v>
      </c>
      <c r="AJ25" s="800">
        <f t="shared" si="15"/>
        <v>6.4</v>
      </c>
      <c r="AK25" s="798">
        <v>1709</v>
      </c>
      <c r="AL25" s="801">
        <v>1462</v>
      </c>
      <c r="AM25" s="795">
        <v>30755</v>
      </c>
      <c r="AN25" s="796">
        <f t="shared" si="16"/>
        <v>85.7</v>
      </c>
      <c r="AO25" s="797">
        <v>30277</v>
      </c>
      <c r="AP25" s="796">
        <f t="shared" si="17"/>
        <v>84.4</v>
      </c>
      <c r="AQ25" s="795">
        <v>31242</v>
      </c>
      <c r="AR25" s="796">
        <f t="shared" si="18"/>
        <v>89.9</v>
      </c>
      <c r="AS25" s="797">
        <v>30904</v>
      </c>
      <c r="AT25" s="796">
        <f t="shared" si="19"/>
        <v>88.9</v>
      </c>
      <c r="AU25" s="795">
        <v>29924</v>
      </c>
      <c r="AV25" s="796">
        <f t="shared" si="20"/>
        <v>86.1</v>
      </c>
      <c r="AW25" s="797">
        <v>57791</v>
      </c>
      <c r="AX25" s="800">
        <f t="shared" si="21"/>
        <v>21.4</v>
      </c>
      <c r="AZ25" s="783">
        <v>34747</v>
      </c>
      <c r="BA25" s="783">
        <v>269848</v>
      </c>
    </row>
    <row r="26" spans="1:53" ht="15" customHeight="1" x14ac:dyDescent="0.2">
      <c r="A26" s="637" t="s">
        <v>265</v>
      </c>
      <c r="B26" s="272" t="s">
        <v>122</v>
      </c>
      <c r="C26" s="794">
        <v>47134</v>
      </c>
      <c r="D26" s="795">
        <v>35644</v>
      </c>
      <c r="E26" s="796">
        <f t="shared" si="0"/>
        <v>75.599999999999994</v>
      </c>
      <c r="F26" s="797">
        <v>32124</v>
      </c>
      <c r="G26" s="796">
        <f t="shared" si="1"/>
        <v>68.2</v>
      </c>
      <c r="H26" s="798">
        <v>31890</v>
      </c>
      <c r="I26" s="796">
        <f t="shared" si="2"/>
        <v>67.7</v>
      </c>
      <c r="J26" s="798">
        <v>35587</v>
      </c>
      <c r="K26" s="796">
        <f t="shared" si="3"/>
        <v>75.5</v>
      </c>
      <c r="L26" s="795">
        <v>23139</v>
      </c>
      <c r="M26" s="796">
        <f t="shared" si="4"/>
        <v>49.1</v>
      </c>
      <c r="N26" s="797">
        <v>35642</v>
      </c>
      <c r="O26" s="796">
        <f t="shared" si="5"/>
        <v>75.599999999999994</v>
      </c>
      <c r="P26" s="798">
        <v>35587</v>
      </c>
      <c r="Q26" s="796">
        <f t="shared" si="6"/>
        <v>75.5</v>
      </c>
      <c r="R26" s="795">
        <v>31788</v>
      </c>
      <c r="S26" s="796">
        <f t="shared" si="7"/>
        <v>67.400000000000006</v>
      </c>
      <c r="T26" s="798">
        <v>31116</v>
      </c>
      <c r="U26" s="796">
        <f t="shared" si="8"/>
        <v>66</v>
      </c>
      <c r="V26" s="797">
        <v>14346</v>
      </c>
      <c r="W26" s="796">
        <f t="shared" si="9"/>
        <v>30.4</v>
      </c>
      <c r="X26" s="799">
        <v>46934</v>
      </c>
      <c r="Y26" s="797">
        <v>36334</v>
      </c>
      <c r="Z26" s="796">
        <f t="shared" si="10"/>
        <v>77.400000000000006</v>
      </c>
      <c r="AA26" s="795">
        <v>36509</v>
      </c>
      <c r="AB26" s="796">
        <f t="shared" si="11"/>
        <v>77.8</v>
      </c>
      <c r="AC26" s="797">
        <v>31395</v>
      </c>
      <c r="AD26" s="796">
        <f t="shared" si="12"/>
        <v>66.599999999999994</v>
      </c>
      <c r="AE26" s="798">
        <v>26008</v>
      </c>
      <c r="AF26" s="796">
        <f t="shared" si="13"/>
        <v>55.2</v>
      </c>
      <c r="AG26" s="798">
        <v>6105</v>
      </c>
      <c r="AH26" s="800">
        <f t="shared" si="14"/>
        <v>13</v>
      </c>
      <c r="AI26" s="798">
        <v>234</v>
      </c>
      <c r="AJ26" s="800">
        <f t="shared" si="15"/>
        <v>0.5</v>
      </c>
      <c r="AK26" s="798">
        <v>229</v>
      </c>
      <c r="AL26" s="801">
        <v>196</v>
      </c>
      <c r="AM26" s="795">
        <v>39127</v>
      </c>
      <c r="AN26" s="796">
        <f t="shared" si="16"/>
        <v>83.4</v>
      </c>
      <c r="AO26" s="797">
        <v>39080</v>
      </c>
      <c r="AP26" s="796">
        <f t="shared" si="17"/>
        <v>83.3</v>
      </c>
      <c r="AQ26" s="795">
        <v>38981</v>
      </c>
      <c r="AR26" s="796">
        <f t="shared" si="18"/>
        <v>83.7</v>
      </c>
      <c r="AS26" s="797">
        <v>38968</v>
      </c>
      <c r="AT26" s="796">
        <f t="shared" si="19"/>
        <v>83.6</v>
      </c>
      <c r="AU26" s="795">
        <v>39249</v>
      </c>
      <c r="AV26" s="796">
        <f t="shared" si="20"/>
        <v>84.2</v>
      </c>
      <c r="AW26" s="797">
        <v>105464</v>
      </c>
      <c r="AX26" s="800">
        <f t="shared" si="21"/>
        <v>21.3</v>
      </c>
      <c r="AZ26" s="783">
        <v>46593</v>
      </c>
      <c r="BA26" s="783">
        <v>495016</v>
      </c>
    </row>
    <row r="27" spans="1:53" ht="15" customHeight="1" x14ac:dyDescent="0.2">
      <c r="A27" s="631" t="s">
        <v>266</v>
      </c>
      <c r="B27" s="272" t="s">
        <v>123</v>
      </c>
      <c r="C27" s="794">
        <v>1066</v>
      </c>
      <c r="D27" s="795">
        <v>685</v>
      </c>
      <c r="E27" s="796">
        <f t="shared" si="0"/>
        <v>64.3</v>
      </c>
      <c r="F27" s="797">
        <v>855</v>
      </c>
      <c r="G27" s="796">
        <f t="shared" si="1"/>
        <v>80.2</v>
      </c>
      <c r="H27" s="798">
        <v>761</v>
      </c>
      <c r="I27" s="796">
        <f t="shared" si="2"/>
        <v>71.400000000000006</v>
      </c>
      <c r="J27" s="798">
        <v>684</v>
      </c>
      <c r="K27" s="796">
        <f t="shared" si="3"/>
        <v>64.2</v>
      </c>
      <c r="L27" s="795">
        <v>907</v>
      </c>
      <c r="M27" s="796">
        <f t="shared" si="4"/>
        <v>85.1</v>
      </c>
      <c r="N27" s="797">
        <v>684</v>
      </c>
      <c r="O27" s="796">
        <f t="shared" si="5"/>
        <v>64.2</v>
      </c>
      <c r="P27" s="798">
        <v>684</v>
      </c>
      <c r="Q27" s="796">
        <f t="shared" si="6"/>
        <v>64.2</v>
      </c>
      <c r="R27" s="795">
        <v>778</v>
      </c>
      <c r="S27" s="796">
        <f t="shared" si="7"/>
        <v>73</v>
      </c>
      <c r="T27" s="798">
        <v>625</v>
      </c>
      <c r="U27" s="796">
        <f t="shared" si="8"/>
        <v>58.6</v>
      </c>
      <c r="V27" s="797">
        <v>359</v>
      </c>
      <c r="W27" s="796">
        <f t="shared" si="9"/>
        <v>33.700000000000003</v>
      </c>
      <c r="X27" s="799">
        <v>1028</v>
      </c>
      <c r="Y27" s="797">
        <v>841</v>
      </c>
      <c r="Z27" s="796">
        <f t="shared" si="10"/>
        <v>81.8</v>
      </c>
      <c r="AA27" s="795">
        <v>846</v>
      </c>
      <c r="AB27" s="796">
        <f t="shared" si="11"/>
        <v>82.3</v>
      </c>
      <c r="AC27" s="797">
        <v>878</v>
      </c>
      <c r="AD27" s="796">
        <f t="shared" si="12"/>
        <v>82.4</v>
      </c>
      <c r="AE27" s="798">
        <v>732</v>
      </c>
      <c r="AF27" s="796">
        <f t="shared" si="13"/>
        <v>68.7</v>
      </c>
      <c r="AG27" s="798">
        <v>611</v>
      </c>
      <c r="AH27" s="800">
        <f t="shared" si="14"/>
        <v>59.4</v>
      </c>
      <c r="AI27" s="798">
        <v>82</v>
      </c>
      <c r="AJ27" s="800">
        <f t="shared" si="15"/>
        <v>8</v>
      </c>
      <c r="AK27" s="798">
        <v>95</v>
      </c>
      <c r="AL27" s="801">
        <v>240</v>
      </c>
      <c r="AM27" s="795">
        <v>719</v>
      </c>
      <c r="AN27" s="796">
        <f t="shared" si="16"/>
        <v>69.900000000000006</v>
      </c>
      <c r="AO27" s="797">
        <v>718</v>
      </c>
      <c r="AP27" s="796">
        <f t="shared" si="17"/>
        <v>69.8</v>
      </c>
      <c r="AQ27" s="795">
        <v>602</v>
      </c>
      <c r="AR27" s="796">
        <f t="shared" si="18"/>
        <v>64.2</v>
      </c>
      <c r="AS27" s="797">
        <v>605</v>
      </c>
      <c r="AT27" s="796">
        <f t="shared" si="19"/>
        <v>64.5</v>
      </c>
      <c r="AU27" s="795">
        <v>608</v>
      </c>
      <c r="AV27" s="796">
        <f t="shared" si="20"/>
        <v>64.8</v>
      </c>
      <c r="AW27" s="797">
        <v>1179</v>
      </c>
      <c r="AX27" s="800">
        <f t="shared" si="21"/>
        <v>26.5</v>
      </c>
      <c r="AZ27" s="783">
        <v>938</v>
      </c>
      <c r="BA27" s="783">
        <v>4454</v>
      </c>
    </row>
    <row r="28" spans="1:53" ht="15" customHeight="1" x14ac:dyDescent="0.2">
      <c r="A28" s="636" t="s">
        <v>267</v>
      </c>
      <c r="B28" s="272" t="s">
        <v>26</v>
      </c>
      <c r="C28" s="794">
        <v>2800</v>
      </c>
      <c r="D28" s="795">
        <v>1856</v>
      </c>
      <c r="E28" s="796">
        <f t="shared" si="0"/>
        <v>66.3</v>
      </c>
      <c r="F28" s="797">
        <v>1557</v>
      </c>
      <c r="G28" s="796">
        <f t="shared" si="1"/>
        <v>55.6</v>
      </c>
      <c r="H28" s="798">
        <v>1632</v>
      </c>
      <c r="I28" s="796">
        <f t="shared" si="2"/>
        <v>58.3</v>
      </c>
      <c r="J28" s="798">
        <v>1856</v>
      </c>
      <c r="K28" s="796">
        <f t="shared" si="3"/>
        <v>66.3</v>
      </c>
      <c r="L28" s="795">
        <v>1493</v>
      </c>
      <c r="M28" s="796">
        <f t="shared" si="4"/>
        <v>53.3</v>
      </c>
      <c r="N28" s="797">
        <v>1856</v>
      </c>
      <c r="O28" s="796">
        <f t="shared" si="5"/>
        <v>66.3</v>
      </c>
      <c r="P28" s="798">
        <v>1856</v>
      </c>
      <c r="Q28" s="796">
        <f t="shared" si="6"/>
        <v>66.3</v>
      </c>
      <c r="R28" s="795">
        <v>1549</v>
      </c>
      <c r="S28" s="796">
        <f t="shared" si="7"/>
        <v>55.3</v>
      </c>
      <c r="T28" s="798">
        <v>1600</v>
      </c>
      <c r="U28" s="796">
        <f t="shared" si="8"/>
        <v>57.1</v>
      </c>
      <c r="V28" s="797">
        <v>1230</v>
      </c>
      <c r="W28" s="796">
        <f t="shared" si="9"/>
        <v>43.9</v>
      </c>
      <c r="X28" s="799">
        <v>2815</v>
      </c>
      <c r="Y28" s="797">
        <v>1681</v>
      </c>
      <c r="Z28" s="796">
        <f t="shared" si="10"/>
        <v>59.7</v>
      </c>
      <c r="AA28" s="795">
        <v>1682</v>
      </c>
      <c r="AB28" s="796">
        <f t="shared" si="11"/>
        <v>59.8</v>
      </c>
      <c r="AC28" s="797">
        <v>1542</v>
      </c>
      <c r="AD28" s="796">
        <f t="shared" si="12"/>
        <v>55.1</v>
      </c>
      <c r="AE28" s="798">
        <v>1619</v>
      </c>
      <c r="AF28" s="796">
        <f t="shared" si="13"/>
        <v>57.8</v>
      </c>
      <c r="AG28" s="798">
        <v>1634</v>
      </c>
      <c r="AH28" s="800">
        <f t="shared" si="14"/>
        <v>58</v>
      </c>
      <c r="AI28" s="798">
        <v>19</v>
      </c>
      <c r="AJ28" s="800">
        <f t="shared" si="15"/>
        <v>0.7</v>
      </c>
      <c r="AK28" s="798">
        <v>10</v>
      </c>
      <c r="AL28" s="801">
        <v>7</v>
      </c>
      <c r="AM28" s="795">
        <v>1582</v>
      </c>
      <c r="AN28" s="796">
        <f t="shared" si="16"/>
        <v>56.2</v>
      </c>
      <c r="AO28" s="797">
        <v>1582</v>
      </c>
      <c r="AP28" s="796">
        <f t="shared" si="17"/>
        <v>56.2</v>
      </c>
      <c r="AQ28" s="795">
        <v>1632</v>
      </c>
      <c r="AR28" s="796">
        <f t="shared" si="18"/>
        <v>58.6</v>
      </c>
      <c r="AS28" s="797">
        <v>1632</v>
      </c>
      <c r="AT28" s="796">
        <f t="shared" si="19"/>
        <v>58.6</v>
      </c>
      <c r="AU28" s="795">
        <v>1598</v>
      </c>
      <c r="AV28" s="796">
        <f t="shared" si="20"/>
        <v>57.4</v>
      </c>
      <c r="AW28" s="797">
        <v>4026</v>
      </c>
      <c r="AX28" s="800">
        <f t="shared" si="21"/>
        <v>30.7</v>
      </c>
      <c r="AZ28" s="783">
        <v>2785</v>
      </c>
      <c r="BA28" s="783">
        <v>13117</v>
      </c>
    </row>
    <row r="29" spans="1:53" ht="15" customHeight="1" x14ac:dyDescent="0.2">
      <c r="A29" s="636" t="s">
        <v>268</v>
      </c>
      <c r="B29" s="272" t="s">
        <v>27</v>
      </c>
      <c r="C29" s="794">
        <v>22730</v>
      </c>
      <c r="D29" s="795">
        <v>19818</v>
      </c>
      <c r="E29" s="796">
        <f t="shared" si="0"/>
        <v>87.2</v>
      </c>
      <c r="F29" s="797">
        <v>19688</v>
      </c>
      <c r="G29" s="796">
        <f t="shared" si="1"/>
        <v>86.6</v>
      </c>
      <c r="H29" s="798">
        <v>19171</v>
      </c>
      <c r="I29" s="796">
        <f t="shared" si="2"/>
        <v>84.3</v>
      </c>
      <c r="J29" s="798">
        <v>19818</v>
      </c>
      <c r="K29" s="796">
        <f t="shared" si="3"/>
        <v>87.2</v>
      </c>
      <c r="L29" s="795">
        <v>20338</v>
      </c>
      <c r="M29" s="796">
        <f t="shared" si="4"/>
        <v>89.5</v>
      </c>
      <c r="N29" s="797">
        <v>19831</v>
      </c>
      <c r="O29" s="796">
        <f t="shared" si="5"/>
        <v>87.2</v>
      </c>
      <c r="P29" s="798">
        <v>19818</v>
      </c>
      <c r="Q29" s="796">
        <f t="shared" si="6"/>
        <v>87.2</v>
      </c>
      <c r="R29" s="795">
        <v>19380</v>
      </c>
      <c r="S29" s="796">
        <f t="shared" si="7"/>
        <v>85.3</v>
      </c>
      <c r="T29" s="798">
        <v>18815</v>
      </c>
      <c r="U29" s="796">
        <f t="shared" si="8"/>
        <v>82.8</v>
      </c>
      <c r="V29" s="797">
        <v>10125</v>
      </c>
      <c r="W29" s="796">
        <f t="shared" si="9"/>
        <v>44.5</v>
      </c>
      <c r="X29" s="799">
        <v>22600</v>
      </c>
      <c r="Y29" s="797">
        <v>19874</v>
      </c>
      <c r="Z29" s="796">
        <f t="shared" si="10"/>
        <v>87.9</v>
      </c>
      <c r="AA29" s="795">
        <v>20014</v>
      </c>
      <c r="AB29" s="796">
        <f t="shared" si="11"/>
        <v>88.6</v>
      </c>
      <c r="AC29" s="797">
        <v>18319</v>
      </c>
      <c r="AD29" s="796">
        <f t="shared" si="12"/>
        <v>80.599999999999994</v>
      </c>
      <c r="AE29" s="798">
        <v>15004</v>
      </c>
      <c r="AF29" s="796">
        <f t="shared" si="13"/>
        <v>66</v>
      </c>
      <c r="AG29" s="798">
        <v>4319</v>
      </c>
      <c r="AH29" s="800">
        <f t="shared" si="14"/>
        <v>19.100000000000001</v>
      </c>
      <c r="AI29" s="798">
        <v>400</v>
      </c>
      <c r="AJ29" s="800">
        <f t="shared" si="15"/>
        <v>1.8</v>
      </c>
      <c r="AK29" s="798">
        <v>239</v>
      </c>
      <c r="AL29" s="801">
        <v>48</v>
      </c>
      <c r="AM29" s="795">
        <v>19072</v>
      </c>
      <c r="AN29" s="796">
        <f t="shared" si="16"/>
        <v>84.4</v>
      </c>
      <c r="AO29" s="797">
        <v>19070</v>
      </c>
      <c r="AP29" s="796">
        <f t="shared" si="17"/>
        <v>84.4</v>
      </c>
      <c r="AQ29" s="795">
        <v>20373</v>
      </c>
      <c r="AR29" s="796">
        <f t="shared" si="18"/>
        <v>90.8</v>
      </c>
      <c r="AS29" s="797">
        <v>20373</v>
      </c>
      <c r="AT29" s="796">
        <f t="shared" si="19"/>
        <v>90.8</v>
      </c>
      <c r="AU29" s="795">
        <v>20167</v>
      </c>
      <c r="AV29" s="796">
        <f t="shared" si="20"/>
        <v>89.9</v>
      </c>
      <c r="AW29" s="797">
        <v>49719</v>
      </c>
      <c r="AX29" s="800">
        <f t="shared" si="21"/>
        <v>25.7</v>
      </c>
      <c r="AZ29" s="783">
        <v>22436</v>
      </c>
      <c r="BA29" s="783">
        <v>193736</v>
      </c>
    </row>
    <row r="30" spans="1:53" ht="15" customHeight="1" x14ac:dyDescent="0.2">
      <c r="A30" s="636" t="s">
        <v>269</v>
      </c>
      <c r="B30" s="272" t="s">
        <v>124</v>
      </c>
      <c r="C30" s="794">
        <v>24622</v>
      </c>
      <c r="D30" s="795">
        <v>20158</v>
      </c>
      <c r="E30" s="796">
        <f t="shared" si="0"/>
        <v>81.900000000000006</v>
      </c>
      <c r="F30" s="797">
        <v>17559</v>
      </c>
      <c r="G30" s="796">
        <f t="shared" si="1"/>
        <v>71.3</v>
      </c>
      <c r="H30" s="798">
        <v>16296</v>
      </c>
      <c r="I30" s="796">
        <f t="shared" si="2"/>
        <v>66.2</v>
      </c>
      <c r="J30" s="798">
        <v>20144</v>
      </c>
      <c r="K30" s="796">
        <f t="shared" si="3"/>
        <v>81.8</v>
      </c>
      <c r="L30" s="795">
        <v>17119</v>
      </c>
      <c r="M30" s="796">
        <f t="shared" si="4"/>
        <v>69.5</v>
      </c>
      <c r="N30" s="797">
        <v>20412</v>
      </c>
      <c r="O30" s="796">
        <f t="shared" si="5"/>
        <v>82.9</v>
      </c>
      <c r="P30" s="798">
        <v>20130</v>
      </c>
      <c r="Q30" s="796">
        <f t="shared" si="6"/>
        <v>81.8</v>
      </c>
      <c r="R30" s="795">
        <v>16262</v>
      </c>
      <c r="S30" s="796">
        <f t="shared" si="7"/>
        <v>66</v>
      </c>
      <c r="T30" s="798">
        <v>15698</v>
      </c>
      <c r="U30" s="796">
        <f t="shared" si="8"/>
        <v>63.8</v>
      </c>
      <c r="V30" s="797">
        <v>6002</v>
      </c>
      <c r="W30" s="796">
        <f t="shared" si="9"/>
        <v>24.4</v>
      </c>
      <c r="X30" s="799">
        <v>24072</v>
      </c>
      <c r="Y30" s="797">
        <v>19802</v>
      </c>
      <c r="Z30" s="796">
        <f t="shared" si="10"/>
        <v>82.3</v>
      </c>
      <c r="AA30" s="795">
        <v>17875</v>
      </c>
      <c r="AB30" s="796">
        <f t="shared" si="11"/>
        <v>74.3</v>
      </c>
      <c r="AC30" s="797">
        <v>17066</v>
      </c>
      <c r="AD30" s="796">
        <f t="shared" si="12"/>
        <v>69.3</v>
      </c>
      <c r="AE30" s="798">
        <v>13811</v>
      </c>
      <c r="AF30" s="796">
        <f t="shared" si="13"/>
        <v>56.1</v>
      </c>
      <c r="AG30" s="798">
        <v>6253</v>
      </c>
      <c r="AH30" s="800">
        <f t="shared" si="14"/>
        <v>26</v>
      </c>
      <c r="AI30" s="798">
        <v>3278</v>
      </c>
      <c r="AJ30" s="800">
        <f t="shared" si="15"/>
        <v>13.6</v>
      </c>
      <c r="AK30" s="798">
        <v>2194</v>
      </c>
      <c r="AL30" s="801">
        <v>2827</v>
      </c>
      <c r="AM30" s="795">
        <v>16900</v>
      </c>
      <c r="AN30" s="796">
        <f t="shared" si="16"/>
        <v>70.2</v>
      </c>
      <c r="AO30" s="797">
        <v>16613</v>
      </c>
      <c r="AP30" s="796">
        <f t="shared" si="17"/>
        <v>69</v>
      </c>
      <c r="AQ30" s="795">
        <v>13807</v>
      </c>
      <c r="AR30" s="796">
        <f t="shared" si="18"/>
        <v>63.2</v>
      </c>
      <c r="AS30" s="797">
        <v>13744</v>
      </c>
      <c r="AT30" s="796">
        <f t="shared" si="19"/>
        <v>62.9</v>
      </c>
      <c r="AU30" s="795">
        <v>12841</v>
      </c>
      <c r="AV30" s="796">
        <f t="shared" si="20"/>
        <v>58.8</v>
      </c>
      <c r="AW30" s="797">
        <v>17223</v>
      </c>
      <c r="AX30" s="800">
        <f t="shared" si="21"/>
        <v>15.2</v>
      </c>
      <c r="AZ30" s="783">
        <v>21847</v>
      </c>
      <c r="BA30" s="783">
        <v>112964</v>
      </c>
    </row>
    <row r="31" spans="1:53" ht="15" customHeight="1" x14ac:dyDescent="0.2">
      <c r="A31" s="636" t="s">
        <v>270</v>
      </c>
      <c r="B31" s="272" t="s">
        <v>28</v>
      </c>
      <c r="C31" s="794">
        <v>18438</v>
      </c>
      <c r="D31" s="795">
        <v>17660</v>
      </c>
      <c r="E31" s="796">
        <f t="shared" si="0"/>
        <v>95.8</v>
      </c>
      <c r="F31" s="797">
        <v>17622</v>
      </c>
      <c r="G31" s="796">
        <f t="shared" si="1"/>
        <v>95.6</v>
      </c>
      <c r="H31" s="798">
        <v>17323</v>
      </c>
      <c r="I31" s="796">
        <f t="shared" si="2"/>
        <v>94</v>
      </c>
      <c r="J31" s="798">
        <v>17647</v>
      </c>
      <c r="K31" s="796">
        <f t="shared" si="3"/>
        <v>95.7</v>
      </c>
      <c r="L31" s="795">
        <v>15468</v>
      </c>
      <c r="M31" s="796">
        <f t="shared" si="4"/>
        <v>83.9</v>
      </c>
      <c r="N31" s="797">
        <v>17635</v>
      </c>
      <c r="O31" s="796">
        <f t="shared" si="5"/>
        <v>95.6</v>
      </c>
      <c r="P31" s="798">
        <v>17600</v>
      </c>
      <c r="Q31" s="796">
        <f t="shared" si="6"/>
        <v>95.5</v>
      </c>
      <c r="R31" s="795">
        <v>17344</v>
      </c>
      <c r="S31" s="796">
        <f t="shared" si="7"/>
        <v>94.1</v>
      </c>
      <c r="T31" s="798">
        <v>16909</v>
      </c>
      <c r="U31" s="796">
        <f t="shared" si="8"/>
        <v>91.7</v>
      </c>
      <c r="V31" s="797">
        <v>8399</v>
      </c>
      <c r="W31" s="796">
        <f t="shared" si="9"/>
        <v>45.6</v>
      </c>
      <c r="X31" s="799">
        <v>18415</v>
      </c>
      <c r="Y31" s="797">
        <v>17997</v>
      </c>
      <c r="Z31" s="796">
        <f t="shared" si="10"/>
        <v>97.7</v>
      </c>
      <c r="AA31" s="795">
        <v>17907</v>
      </c>
      <c r="AB31" s="796">
        <f t="shared" si="11"/>
        <v>97.2</v>
      </c>
      <c r="AC31" s="797">
        <v>18147</v>
      </c>
      <c r="AD31" s="796">
        <f t="shared" si="12"/>
        <v>98.4</v>
      </c>
      <c r="AE31" s="798">
        <v>18000</v>
      </c>
      <c r="AF31" s="796">
        <f t="shared" si="13"/>
        <v>97.6</v>
      </c>
      <c r="AG31" s="798">
        <v>14646</v>
      </c>
      <c r="AH31" s="800">
        <f t="shared" si="14"/>
        <v>79.5</v>
      </c>
      <c r="AI31" s="798">
        <v>412</v>
      </c>
      <c r="AJ31" s="800">
        <f t="shared" si="15"/>
        <v>2.2000000000000002</v>
      </c>
      <c r="AK31" s="798">
        <v>240</v>
      </c>
      <c r="AL31" s="801">
        <v>184</v>
      </c>
      <c r="AM31" s="795">
        <v>17093</v>
      </c>
      <c r="AN31" s="796">
        <f t="shared" si="16"/>
        <v>92.8</v>
      </c>
      <c r="AO31" s="797">
        <v>17101</v>
      </c>
      <c r="AP31" s="796">
        <f t="shared" si="17"/>
        <v>92.9</v>
      </c>
      <c r="AQ31" s="795">
        <v>16713</v>
      </c>
      <c r="AR31" s="796">
        <f t="shared" si="18"/>
        <v>89.9</v>
      </c>
      <c r="AS31" s="797">
        <v>16594</v>
      </c>
      <c r="AT31" s="796">
        <f t="shared" si="19"/>
        <v>89.3</v>
      </c>
      <c r="AU31" s="795">
        <v>16010</v>
      </c>
      <c r="AV31" s="796">
        <f t="shared" si="20"/>
        <v>86.1</v>
      </c>
      <c r="AW31" s="797">
        <v>36863</v>
      </c>
      <c r="AX31" s="800">
        <f t="shared" si="21"/>
        <v>29.5</v>
      </c>
      <c r="AZ31" s="783">
        <v>18592</v>
      </c>
      <c r="BA31" s="783">
        <v>124829</v>
      </c>
    </row>
    <row r="32" spans="1:53" ht="15" customHeight="1" x14ac:dyDescent="0.2">
      <c r="A32" s="632" t="s">
        <v>271</v>
      </c>
      <c r="B32" s="272" t="s">
        <v>127</v>
      </c>
      <c r="C32" s="794">
        <v>9158</v>
      </c>
      <c r="D32" s="795">
        <v>6825</v>
      </c>
      <c r="E32" s="796">
        <f t="shared" si="0"/>
        <v>74.5</v>
      </c>
      <c r="F32" s="797">
        <v>8016</v>
      </c>
      <c r="G32" s="796">
        <f t="shared" si="1"/>
        <v>87.5</v>
      </c>
      <c r="H32" s="798">
        <v>7480</v>
      </c>
      <c r="I32" s="796">
        <f t="shared" si="2"/>
        <v>81.7</v>
      </c>
      <c r="J32" s="798">
        <v>6969</v>
      </c>
      <c r="K32" s="796">
        <f t="shared" si="3"/>
        <v>76.099999999999994</v>
      </c>
      <c r="L32" s="795">
        <v>8200</v>
      </c>
      <c r="M32" s="796">
        <f t="shared" si="4"/>
        <v>89.5</v>
      </c>
      <c r="N32" s="797">
        <v>6972</v>
      </c>
      <c r="O32" s="796">
        <f t="shared" si="5"/>
        <v>76.099999999999994</v>
      </c>
      <c r="P32" s="798">
        <v>6969</v>
      </c>
      <c r="Q32" s="796">
        <f t="shared" si="6"/>
        <v>76.099999999999994</v>
      </c>
      <c r="R32" s="795">
        <v>7614</v>
      </c>
      <c r="S32" s="796">
        <f t="shared" si="7"/>
        <v>83.1</v>
      </c>
      <c r="T32" s="798">
        <v>6780</v>
      </c>
      <c r="U32" s="796">
        <f t="shared" si="8"/>
        <v>74</v>
      </c>
      <c r="V32" s="797">
        <v>3025</v>
      </c>
      <c r="W32" s="796">
        <f t="shared" si="9"/>
        <v>33</v>
      </c>
      <c r="X32" s="799">
        <v>9226</v>
      </c>
      <c r="Y32" s="797">
        <v>7294</v>
      </c>
      <c r="Z32" s="796">
        <f t="shared" si="10"/>
        <v>79.099999999999994</v>
      </c>
      <c r="AA32" s="795">
        <v>7620</v>
      </c>
      <c r="AB32" s="796">
        <f t="shared" si="11"/>
        <v>82.6</v>
      </c>
      <c r="AC32" s="797">
        <v>8456</v>
      </c>
      <c r="AD32" s="796">
        <f t="shared" si="12"/>
        <v>92.3</v>
      </c>
      <c r="AE32" s="798">
        <v>7814</v>
      </c>
      <c r="AF32" s="796">
        <f t="shared" si="13"/>
        <v>85.3</v>
      </c>
      <c r="AG32" s="798">
        <v>4693</v>
      </c>
      <c r="AH32" s="800">
        <f t="shared" si="14"/>
        <v>50.9</v>
      </c>
      <c r="AI32" s="798">
        <v>342</v>
      </c>
      <c r="AJ32" s="800">
        <f t="shared" si="15"/>
        <v>3.7</v>
      </c>
      <c r="AK32" s="798">
        <v>380</v>
      </c>
      <c r="AL32" s="801">
        <v>103</v>
      </c>
      <c r="AM32" s="795">
        <v>6463</v>
      </c>
      <c r="AN32" s="796">
        <f t="shared" si="16"/>
        <v>70.099999999999994</v>
      </c>
      <c r="AO32" s="797">
        <v>6530</v>
      </c>
      <c r="AP32" s="796">
        <f t="shared" si="17"/>
        <v>70.8</v>
      </c>
      <c r="AQ32" s="795">
        <v>5738</v>
      </c>
      <c r="AR32" s="796">
        <f t="shared" si="18"/>
        <v>59.3</v>
      </c>
      <c r="AS32" s="797">
        <v>5892</v>
      </c>
      <c r="AT32" s="796">
        <f t="shared" si="19"/>
        <v>60.9</v>
      </c>
      <c r="AU32" s="795">
        <v>5669</v>
      </c>
      <c r="AV32" s="796">
        <f t="shared" si="20"/>
        <v>58.6</v>
      </c>
      <c r="AW32" s="797">
        <v>10177</v>
      </c>
      <c r="AX32" s="800">
        <f t="shared" si="21"/>
        <v>13.6</v>
      </c>
      <c r="AZ32" s="783">
        <v>9669</v>
      </c>
      <c r="BA32" s="783">
        <v>75054</v>
      </c>
    </row>
    <row r="33" spans="1:53" ht="15" customHeight="1" x14ac:dyDescent="0.2">
      <c r="A33" s="631" t="s">
        <v>272</v>
      </c>
      <c r="B33" s="272" t="s">
        <v>29</v>
      </c>
      <c r="C33" s="794">
        <v>18215</v>
      </c>
      <c r="D33" s="795">
        <v>16753</v>
      </c>
      <c r="E33" s="796">
        <f t="shared" si="0"/>
        <v>92</v>
      </c>
      <c r="F33" s="797">
        <v>16034</v>
      </c>
      <c r="G33" s="796">
        <f t="shared" si="1"/>
        <v>88</v>
      </c>
      <c r="H33" s="798">
        <v>15881</v>
      </c>
      <c r="I33" s="796">
        <f t="shared" si="2"/>
        <v>87.2</v>
      </c>
      <c r="J33" s="798">
        <v>16733</v>
      </c>
      <c r="K33" s="796">
        <f t="shared" si="3"/>
        <v>91.9</v>
      </c>
      <c r="L33" s="795">
        <v>16451</v>
      </c>
      <c r="M33" s="796">
        <f t="shared" si="4"/>
        <v>90.3</v>
      </c>
      <c r="N33" s="797">
        <v>16734</v>
      </c>
      <c r="O33" s="796">
        <f t="shared" si="5"/>
        <v>91.9</v>
      </c>
      <c r="P33" s="798">
        <v>16733</v>
      </c>
      <c r="Q33" s="796">
        <f t="shared" si="6"/>
        <v>91.9</v>
      </c>
      <c r="R33" s="795">
        <v>15601</v>
      </c>
      <c r="S33" s="796">
        <f t="shared" si="7"/>
        <v>85.6</v>
      </c>
      <c r="T33" s="798">
        <v>15362</v>
      </c>
      <c r="U33" s="796">
        <f t="shared" si="8"/>
        <v>84.3</v>
      </c>
      <c r="V33" s="797">
        <v>9633</v>
      </c>
      <c r="W33" s="796">
        <f t="shared" si="9"/>
        <v>52.9</v>
      </c>
      <c r="X33" s="799">
        <v>18158</v>
      </c>
      <c r="Y33" s="797">
        <v>16934</v>
      </c>
      <c r="Z33" s="796">
        <f t="shared" si="10"/>
        <v>93.3</v>
      </c>
      <c r="AA33" s="795">
        <v>17120</v>
      </c>
      <c r="AB33" s="796">
        <f t="shared" si="11"/>
        <v>94.3</v>
      </c>
      <c r="AC33" s="797">
        <v>15727</v>
      </c>
      <c r="AD33" s="796">
        <f t="shared" si="12"/>
        <v>86.3</v>
      </c>
      <c r="AE33" s="798">
        <v>12798</v>
      </c>
      <c r="AF33" s="796">
        <f t="shared" si="13"/>
        <v>70.3</v>
      </c>
      <c r="AG33" s="798">
        <v>2125</v>
      </c>
      <c r="AH33" s="800">
        <f t="shared" si="14"/>
        <v>11.7</v>
      </c>
      <c r="AI33" s="798">
        <v>86</v>
      </c>
      <c r="AJ33" s="800">
        <f t="shared" si="15"/>
        <v>0.5</v>
      </c>
      <c r="AK33" s="798">
        <v>100</v>
      </c>
      <c r="AL33" s="801">
        <v>238</v>
      </c>
      <c r="AM33" s="795">
        <v>17499</v>
      </c>
      <c r="AN33" s="796">
        <f t="shared" si="16"/>
        <v>96.4</v>
      </c>
      <c r="AO33" s="797">
        <v>17474</v>
      </c>
      <c r="AP33" s="796">
        <f t="shared" si="17"/>
        <v>96.2</v>
      </c>
      <c r="AQ33" s="795">
        <v>16549</v>
      </c>
      <c r="AR33" s="796">
        <f t="shared" si="18"/>
        <v>92.5</v>
      </c>
      <c r="AS33" s="797">
        <v>16521</v>
      </c>
      <c r="AT33" s="796">
        <f t="shared" si="19"/>
        <v>92.3</v>
      </c>
      <c r="AU33" s="795">
        <v>16626</v>
      </c>
      <c r="AV33" s="796">
        <f t="shared" si="20"/>
        <v>92.9</v>
      </c>
      <c r="AW33" s="797">
        <v>30040</v>
      </c>
      <c r="AX33" s="800">
        <f t="shared" si="21"/>
        <v>20.2</v>
      </c>
      <c r="AZ33" s="783">
        <v>17891</v>
      </c>
      <c r="BA33" s="783">
        <v>148848</v>
      </c>
    </row>
    <row r="34" spans="1:53" ht="15" customHeight="1" x14ac:dyDescent="0.2">
      <c r="A34" s="636" t="s">
        <v>273</v>
      </c>
      <c r="B34" s="272" t="s">
        <v>30</v>
      </c>
      <c r="C34" s="794">
        <v>32778</v>
      </c>
      <c r="D34" s="795">
        <v>21554</v>
      </c>
      <c r="E34" s="796">
        <f t="shared" si="0"/>
        <v>65.8</v>
      </c>
      <c r="F34" s="797">
        <v>21548</v>
      </c>
      <c r="G34" s="796">
        <f t="shared" si="1"/>
        <v>65.7</v>
      </c>
      <c r="H34" s="798">
        <v>21210</v>
      </c>
      <c r="I34" s="796">
        <f t="shared" si="2"/>
        <v>64.7</v>
      </c>
      <c r="J34" s="798">
        <v>21565</v>
      </c>
      <c r="K34" s="796">
        <f t="shared" si="3"/>
        <v>65.8</v>
      </c>
      <c r="L34" s="795">
        <v>21490</v>
      </c>
      <c r="M34" s="796">
        <f t="shared" si="4"/>
        <v>65.599999999999994</v>
      </c>
      <c r="N34" s="797">
        <v>21568</v>
      </c>
      <c r="O34" s="796">
        <f t="shared" si="5"/>
        <v>65.8</v>
      </c>
      <c r="P34" s="798">
        <v>21553</v>
      </c>
      <c r="Q34" s="796">
        <f t="shared" si="6"/>
        <v>65.8</v>
      </c>
      <c r="R34" s="795">
        <v>21157</v>
      </c>
      <c r="S34" s="796">
        <f t="shared" si="7"/>
        <v>64.5</v>
      </c>
      <c r="T34" s="798">
        <v>20499</v>
      </c>
      <c r="U34" s="796">
        <f t="shared" si="8"/>
        <v>62.5</v>
      </c>
      <c r="V34" s="797">
        <v>9314</v>
      </c>
      <c r="W34" s="796">
        <f t="shared" si="9"/>
        <v>28.4</v>
      </c>
      <c r="X34" s="799">
        <v>32649</v>
      </c>
      <c r="Y34" s="797">
        <v>22603</v>
      </c>
      <c r="Z34" s="796">
        <f t="shared" si="10"/>
        <v>69.2</v>
      </c>
      <c r="AA34" s="795">
        <v>22331</v>
      </c>
      <c r="AB34" s="796">
        <f t="shared" si="11"/>
        <v>68.400000000000006</v>
      </c>
      <c r="AC34" s="797">
        <v>21587</v>
      </c>
      <c r="AD34" s="796">
        <f t="shared" si="12"/>
        <v>65.900000000000006</v>
      </c>
      <c r="AE34" s="798">
        <v>21023</v>
      </c>
      <c r="AF34" s="796">
        <f t="shared" si="13"/>
        <v>64.099999999999994</v>
      </c>
      <c r="AG34" s="798">
        <v>20675</v>
      </c>
      <c r="AH34" s="800">
        <f t="shared" si="14"/>
        <v>63.3</v>
      </c>
      <c r="AI34" s="798">
        <v>753</v>
      </c>
      <c r="AJ34" s="800">
        <f t="shared" si="15"/>
        <v>2.2999999999999998</v>
      </c>
      <c r="AK34" s="798">
        <v>314</v>
      </c>
      <c r="AL34" s="801">
        <v>435</v>
      </c>
      <c r="AM34" s="795">
        <v>22818</v>
      </c>
      <c r="AN34" s="796">
        <f t="shared" si="16"/>
        <v>69.900000000000006</v>
      </c>
      <c r="AO34" s="797">
        <v>22902</v>
      </c>
      <c r="AP34" s="796">
        <f t="shared" si="17"/>
        <v>70.099999999999994</v>
      </c>
      <c r="AQ34" s="795">
        <v>24170</v>
      </c>
      <c r="AR34" s="796">
        <f t="shared" si="18"/>
        <v>73.3</v>
      </c>
      <c r="AS34" s="797">
        <v>24252</v>
      </c>
      <c r="AT34" s="796">
        <f t="shared" si="19"/>
        <v>73.5</v>
      </c>
      <c r="AU34" s="795">
        <v>24309</v>
      </c>
      <c r="AV34" s="796">
        <f t="shared" si="20"/>
        <v>73.7</v>
      </c>
      <c r="AW34" s="797">
        <v>76947</v>
      </c>
      <c r="AX34" s="800">
        <f t="shared" si="21"/>
        <v>25.9</v>
      </c>
      <c r="AZ34" s="783">
        <v>32984</v>
      </c>
      <c r="BA34" s="783">
        <v>297114</v>
      </c>
    </row>
    <row r="35" spans="1:53" x14ac:dyDescent="0.2">
      <c r="A35" s="638" t="s">
        <v>274</v>
      </c>
      <c r="B35" s="842" t="s">
        <v>125</v>
      </c>
      <c r="C35" s="794">
        <v>25626</v>
      </c>
      <c r="D35" s="795">
        <v>22933</v>
      </c>
      <c r="E35" s="796">
        <f t="shared" si="0"/>
        <v>89.5</v>
      </c>
      <c r="F35" s="797">
        <v>22250</v>
      </c>
      <c r="G35" s="796">
        <f t="shared" si="1"/>
        <v>86.8</v>
      </c>
      <c r="H35" s="798">
        <v>21717</v>
      </c>
      <c r="I35" s="796">
        <f t="shared" si="2"/>
        <v>84.7</v>
      </c>
      <c r="J35" s="798">
        <v>22937</v>
      </c>
      <c r="K35" s="796">
        <f t="shared" si="3"/>
        <v>89.5</v>
      </c>
      <c r="L35" s="795">
        <v>23446</v>
      </c>
      <c r="M35" s="796">
        <f t="shared" si="4"/>
        <v>91.5</v>
      </c>
      <c r="N35" s="797">
        <v>22940</v>
      </c>
      <c r="O35" s="796">
        <f t="shared" si="5"/>
        <v>89.5</v>
      </c>
      <c r="P35" s="798">
        <v>22937</v>
      </c>
      <c r="Q35" s="796">
        <f t="shared" si="6"/>
        <v>89.5</v>
      </c>
      <c r="R35" s="795">
        <v>21369</v>
      </c>
      <c r="S35" s="796">
        <f t="shared" si="7"/>
        <v>83.4</v>
      </c>
      <c r="T35" s="798">
        <v>20639</v>
      </c>
      <c r="U35" s="796">
        <f t="shared" si="8"/>
        <v>80.5</v>
      </c>
      <c r="V35" s="797">
        <v>9289</v>
      </c>
      <c r="W35" s="796">
        <f t="shared" si="9"/>
        <v>36.200000000000003</v>
      </c>
      <c r="X35" s="799">
        <v>25471</v>
      </c>
      <c r="Y35" s="797">
        <v>23791</v>
      </c>
      <c r="Z35" s="796">
        <f t="shared" si="10"/>
        <v>93.4</v>
      </c>
      <c r="AA35" s="795">
        <v>22738</v>
      </c>
      <c r="AB35" s="796">
        <f t="shared" si="11"/>
        <v>89.3</v>
      </c>
      <c r="AC35" s="797">
        <v>23338</v>
      </c>
      <c r="AD35" s="796">
        <f t="shared" si="12"/>
        <v>91.1</v>
      </c>
      <c r="AE35" s="798">
        <v>23645</v>
      </c>
      <c r="AF35" s="796">
        <f t="shared" si="13"/>
        <v>92.3</v>
      </c>
      <c r="AG35" s="798">
        <v>16752</v>
      </c>
      <c r="AH35" s="800">
        <f t="shared" si="14"/>
        <v>65.8</v>
      </c>
      <c r="AI35" s="798">
        <v>821</v>
      </c>
      <c r="AJ35" s="800">
        <f t="shared" si="15"/>
        <v>3.2</v>
      </c>
      <c r="AK35" s="798">
        <v>877</v>
      </c>
      <c r="AL35" s="801">
        <v>188</v>
      </c>
      <c r="AM35" s="795">
        <v>22526</v>
      </c>
      <c r="AN35" s="796">
        <f t="shared" si="16"/>
        <v>88.4</v>
      </c>
      <c r="AO35" s="797">
        <v>22456</v>
      </c>
      <c r="AP35" s="796">
        <f t="shared" si="17"/>
        <v>88.2</v>
      </c>
      <c r="AQ35" s="795">
        <v>21985</v>
      </c>
      <c r="AR35" s="796">
        <f t="shared" si="18"/>
        <v>86.1</v>
      </c>
      <c r="AS35" s="797">
        <v>21924</v>
      </c>
      <c r="AT35" s="796">
        <f t="shared" si="19"/>
        <v>85.8</v>
      </c>
      <c r="AU35" s="795">
        <v>21969</v>
      </c>
      <c r="AV35" s="796">
        <f t="shared" si="20"/>
        <v>86</v>
      </c>
      <c r="AW35" s="797">
        <v>60097</v>
      </c>
      <c r="AX35" s="800">
        <f t="shared" si="21"/>
        <v>25.2</v>
      </c>
      <c r="AZ35" s="783">
        <v>25539</v>
      </c>
      <c r="BA35" s="783">
        <v>238562</v>
      </c>
    </row>
    <row r="36" spans="1:53" ht="15" customHeight="1" x14ac:dyDescent="0.2">
      <c r="A36" s="636" t="s">
        <v>275</v>
      </c>
      <c r="B36" s="272" t="s">
        <v>31</v>
      </c>
      <c r="C36" s="794">
        <v>7969</v>
      </c>
      <c r="D36" s="795">
        <v>5759</v>
      </c>
      <c r="E36" s="796">
        <f t="shared" si="0"/>
        <v>72.3</v>
      </c>
      <c r="F36" s="797">
        <v>5232</v>
      </c>
      <c r="G36" s="796">
        <f t="shared" si="1"/>
        <v>65.7</v>
      </c>
      <c r="H36" s="798">
        <v>5105</v>
      </c>
      <c r="I36" s="796">
        <f t="shared" si="2"/>
        <v>64.099999999999994</v>
      </c>
      <c r="J36" s="798">
        <v>5759</v>
      </c>
      <c r="K36" s="796">
        <f t="shared" si="3"/>
        <v>72.3</v>
      </c>
      <c r="L36" s="795">
        <v>5207</v>
      </c>
      <c r="M36" s="796">
        <f t="shared" si="4"/>
        <v>65.3</v>
      </c>
      <c r="N36" s="797">
        <v>5728</v>
      </c>
      <c r="O36" s="796">
        <f t="shared" si="5"/>
        <v>71.900000000000006</v>
      </c>
      <c r="P36" s="798">
        <v>5720</v>
      </c>
      <c r="Q36" s="796">
        <f t="shared" si="6"/>
        <v>71.8</v>
      </c>
      <c r="R36" s="795">
        <v>4824</v>
      </c>
      <c r="S36" s="796">
        <f t="shared" si="7"/>
        <v>60.5</v>
      </c>
      <c r="T36" s="798">
        <v>4809</v>
      </c>
      <c r="U36" s="796">
        <f t="shared" si="8"/>
        <v>60.3</v>
      </c>
      <c r="V36" s="797">
        <v>3353</v>
      </c>
      <c r="W36" s="796">
        <f t="shared" si="9"/>
        <v>42.1</v>
      </c>
      <c r="X36" s="799">
        <v>7918</v>
      </c>
      <c r="Y36" s="797">
        <v>6184</v>
      </c>
      <c r="Z36" s="796">
        <f t="shared" si="10"/>
        <v>78.099999999999994</v>
      </c>
      <c r="AA36" s="795">
        <v>6169</v>
      </c>
      <c r="AB36" s="796">
        <f t="shared" si="11"/>
        <v>77.900000000000006</v>
      </c>
      <c r="AC36" s="797">
        <v>5191</v>
      </c>
      <c r="AD36" s="796">
        <f t="shared" si="12"/>
        <v>65.099999999999994</v>
      </c>
      <c r="AE36" s="798">
        <v>5117</v>
      </c>
      <c r="AF36" s="796">
        <f t="shared" si="13"/>
        <v>64.2</v>
      </c>
      <c r="AG36" s="798">
        <v>5501</v>
      </c>
      <c r="AH36" s="800">
        <f t="shared" si="14"/>
        <v>69.5</v>
      </c>
      <c r="AI36" s="798">
        <v>177</v>
      </c>
      <c r="AJ36" s="800">
        <f t="shared" si="15"/>
        <v>2.2000000000000002</v>
      </c>
      <c r="AK36" s="798">
        <v>262</v>
      </c>
      <c r="AL36" s="801">
        <v>68</v>
      </c>
      <c r="AM36" s="795">
        <v>5561</v>
      </c>
      <c r="AN36" s="796">
        <f t="shared" si="16"/>
        <v>70.2</v>
      </c>
      <c r="AO36" s="797">
        <v>5572</v>
      </c>
      <c r="AP36" s="796">
        <f t="shared" si="17"/>
        <v>70.400000000000006</v>
      </c>
      <c r="AQ36" s="795">
        <v>6285</v>
      </c>
      <c r="AR36" s="796">
        <f t="shared" si="18"/>
        <v>80.5</v>
      </c>
      <c r="AS36" s="797">
        <v>6291</v>
      </c>
      <c r="AT36" s="796">
        <f t="shared" si="19"/>
        <v>80.599999999999994</v>
      </c>
      <c r="AU36" s="795">
        <v>6319</v>
      </c>
      <c r="AV36" s="796">
        <f t="shared" si="20"/>
        <v>81</v>
      </c>
      <c r="AW36" s="797">
        <v>11400</v>
      </c>
      <c r="AX36" s="800">
        <f t="shared" si="21"/>
        <v>26.5</v>
      </c>
      <c r="AZ36" s="783">
        <v>7804</v>
      </c>
      <c r="BA36" s="783">
        <v>42968</v>
      </c>
    </row>
    <row r="37" spans="1:53" ht="15" customHeight="1" x14ac:dyDescent="0.2">
      <c r="A37" s="631" t="s">
        <v>276</v>
      </c>
      <c r="B37" s="272" t="s">
        <v>205</v>
      </c>
      <c r="C37" s="794">
        <v>9312</v>
      </c>
      <c r="D37" s="795">
        <v>6703</v>
      </c>
      <c r="E37" s="796">
        <f t="shared" si="0"/>
        <v>72</v>
      </c>
      <c r="F37" s="797">
        <v>6079</v>
      </c>
      <c r="G37" s="796">
        <f t="shared" si="1"/>
        <v>65.3</v>
      </c>
      <c r="H37" s="798">
        <v>6056</v>
      </c>
      <c r="I37" s="796">
        <f t="shared" si="2"/>
        <v>65</v>
      </c>
      <c r="J37" s="798">
        <v>6702</v>
      </c>
      <c r="K37" s="796">
        <f t="shared" si="3"/>
        <v>72</v>
      </c>
      <c r="L37" s="795">
        <v>6165</v>
      </c>
      <c r="M37" s="796">
        <f t="shared" si="4"/>
        <v>66.2</v>
      </c>
      <c r="N37" s="797">
        <v>6704</v>
      </c>
      <c r="O37" s="796">
        <f t="shared" si="5"/>
        <v>72</v>
      </c>
      <c r="P37" s="798">
        <v>6692</v>
      </c>
      <c r="Q37" s="796">
        <f t="shared" si="6"/>
        <v>71.900000000000006</v>
      </c>
      <c r="R37" s="795">
        <v>6053</v>
      </c>
      <c r="S37" s="796">
        <f t="shared" si="7"/>
        <v>65</v>
      </c>
      <c r="T37" s="798">
        <v>6027</v>
      </c>
      <c r="U37" s="796">
        <f t="shared" si="8"/>
        <v>64.7</v>
      </c>
      <c r="V37" s="797">
        <v>3387</v>
      </c>
      <c r="W37" s="796">
        <f t="shared" si="9"/>
        <v>36.4</v>
      </c>
      <c r="X37" s="799">
        <v>9229</v>
      </c>
      <c r="Y37" s="797">
        <v>7034</v>
      </c>
      <c r="Z37" s="796">
        <f t="shared" si="10"/>
        <v>76.2</v>
      </c>
      <c r="AA37" s="795">
        <v>7043</v>
      </c>
      <c r="AB37" s="796">
        <f t="shared" si="11"/>
        <v>76.3</v>
      </c>
      <c r="AC37" s="797">
        <v>5886</v>
      </c>
      <c r="AD37" s="796">
        <f t="shared" si="12"/>
        <v>63.2</v>
      </c>
      <c r="AE37" s="798">
        <v>4887</v>
      </c>
      <c r="AF37" s="796">
        <f t="shared" si="13"/>
        <v>52.5</v>
      </c>
      <c r="AG37" s="798">
        <v>1087</v>
      </c>
      <c r="AH37" s="800">
        <f t="shared" si="14"/>
        <v>11.8</v>
      </c>
      <c r="AI37" s="798">
        <v>6</v>
      </c>
      <c r="AJ37" s="800">
        <f t="shared" si="15"/>
        <v>0.1</v>
      </c>
      <c r="AK37" s="798">
        <v>0</v>
      </c>
      <c r="AL37" s="801">
        <v>29</v>
      </c>
      <c r="AM37" s="795">
        <v>6457</v>
      </c>
      <c r="AN37" s="796">
        <f t="shared" si="16"/>
        <v>70</v>
      </c>
      <c r="AO37" s="797">
        <v>6447</v>
      </c>
      <c r="AP37" s="796">
        <f t="shared" si="17"/>
        <v>69.900000000000006</v>
      </c>
      <c r="AQ37" s="795">
        <v>6947</v>
      </c>
      <c r="AR37" s="796">
        <f t="shared" si="18"/>
        <v>76.2</v>
      </c>
      <c r="AS37" s="797">
        <v>6948</v>
      </c>
      <c r="AT37" s="796">
        <f t="shared" si="19"/>
        <v>76.2</v>
      </c>
      <c r="AU37" s="795">
        <v>6963</v>
      </c>
      <c r="AV37" s="796">
        <f t="shared" si="20"/>
        <v>76.400000000000006</v>
      </c>
      <c r="AW37" s="797">
        <v>34445</v>
      </c>
      <c r="AX37" s="800">
        <f t="shared" si="21"/>
        <v>26.5</v>
      </c>
      <c r="AZ37" s="783">
        <v>9119</v>
      </c>
      <c r="BA37" s="783">
        <v>130192</v>
      </c>
    </row>
    <row r="38" spans="1:53" ht="15" customHeight="1" x14ac:dyDescent="0.2">
      <c r="A38" s="631" t="s">
        <v>279</v>
      </c>
      <c r="B38" s="272" t="s">
        <v>33</v>
      </c>
      <c r="C38" s="794">
        <v>15409</v>
      </c>
      <c r="D38" s="795">
        <v>11619</v>
      </c>
      <c r="E38" s="796">
        <f t="shared" si="0"/>
        <v>75.400000000000006</v>
      </c>
      <c r="F38" s="797">
        <v>11801</v>
      </c>
      <c r="G38" s="796">
        <f t="shared" si="1"/>
        <v>76.599999999999994</v>
      </c>
      <c r="H38" s="798">
        <v>11747</v>
      </c>
      <c r="I38" s="796">
        <f t="shared" si="2"/>
        <v>76.2</v>
      </c>
      <c r="J38" s="798">
        <v>11643</v>
      </c>
      <c r="K38" s="796">
        <f t="shared" si="3"/>
        <v>75.599999999999994</v>
      </c>
      <c r="L38" s="795">
        <v>12282</v>
      </c>
      <c r="M38" s="796">
        <f t="shared" si="4"/>
        <v>79.7</v>
      </c>
      <c r="N38" s="797">
        <v>11648</v>
      </c>
      <c r="O38" s="796">
        <f t="shared" si="5"/>
        <v>75.599999999999994</v>
      </c>
      <c r="P38" s="798">
        <v>11644</v>
      </c>
      <c r="Q38" s="796">
        <f t="shared" si="6"/>
        <v>75.599999999999994</v>
      </c>
      <c r="R38" s="795">
        <v>11478</v>
      </c>
      <c r="S38" s="796">
        <f t="shared" si="7"/>
        <v>74.5</v>
      </c>
      <c r="T38" s="798">
        <v>11027</v>
      </c>
      <c r="U38" s="796">
        <f t="shared" si="8"/>
        <v>71.599999999999994</v>
      </c>
      <c r="V38" s="797">
        <v>7016</v>
      </c>
      <c r="W38" s="796">
        <f t="shared" si="9"/>
        <v>45.5</v>
      </c>
      <c r="X38" s="799">
        <v>15375</v>
      </c>
      <c r="Y38" s="797">
        <v>12350</v>
      </c>
      <c r="Z38" s="796">
        <f t="shared" si="10"/>
        <v>80.3</v>
      </c>
      <c r="AA38" s="795">
        <v>12239</v>
      </c>
      <c r="AB38" s="796">
        <f t="shared" si="11"/>
        <v>79.599999999999994</v>
      </c>
      <c r="AC38" s="797">
        <v>11234</v>
      </c>
      <c r="AD38" s="796">
        <f t="shared" si="12"/>
        <v>72.900000000000006</v>
      </c>
      <c r="AE38" s="798">
        <v>9156</v>
      </c>
      <c r="AF38" s="796">
        <f t="shared" si="13"/>
        <v>59.4</v>
      </c>
      <c r="AG38" s="798">
        <v>1760</v>
      </c>
      <c r="AH38" s="800">
        <f t="shared" si="14"/>
        <v>11.4</v>
      </c>
      <c r="AI38" s="798">
        <v>153</v>
      </c>
      <c r="AJ38" s="800">
        <f t="shared" si="15"/>
        <v>1</v>
      </c>
      <c r="AK38" s="798">
        <v>135</v>
      </c>
      <c r="AL38" s="801">
        <v>114</v>
      </c>
      <c r="AM38" s="795">
        <v>12428</v>
      </c>
      <c r="AN38" s="796">
        <f t="shared" si="16"/>
        <v>80.8</v>
      </c>
      <c r="AO38" s="797">
        <v>12420</v>
      </c>
      <c r="AP38" s="796">
        <f t="shared" si="17"/>
        <v>80.8</v>
      </c>
      <c r="AQ38" s="795">
        <v>12291</v>
      </c>
      <c r="AR38" s="796">
        <f t="shared" si="18"/>
        <v>80.599999999999994</v>
      </c>
      <c r="AS38" s="797">
        <v>12286</v>
      </c>
      <c r="AT38" s="796">
        <f t="shared" si="19"/>
        <v>80.5</v>
      </c>
      <c r="AU38" s="795">
        <v>12138</v>
      </c>
      <c r="AV38" s="796">
        <f t="shared" si="20"/>
        <v>79.599999999999994</v>
      </c>
      <c r="AW38" s="797">
        <v>63186</v>
      </c>
      <c r="AX38" s="800">
        <f t="shared" si="21"/>
        <v>29.8</v>
      </c>
      <c r="AZ38" s="783">
        <v>15256</v>
      </c>
      <c r="BA38" s="783">
        <v>212278</v>
      </c>
    </row>
    <row r="39" spans="1:53" ht="15" customHeight="1" x14ac:dyDescent="0.2">
      <c r="A39" s="631" t="s">
        <v>278</v>
      </c>
      <c r="B39" s="272" t="s">
        <v>126</v>
      </c>
      <c r="C39" s="794">
        <v>1279</v>
      </c>
      <c r="D39" s="795">
        <v>788</v>
      </c>
      <c r="E39" s="796">
        <f t="shared" si="0"/>
        <v>61.6</v>
      </c>
      <c r="F39" s="797">
        <v>835</v>
      </c>
      <c r="G39" s="796">
        <f t="shared" si="1"/>
        <v>65.3</v>
      </c>
      <c r="H39" s="798">
        <v>810</v>
      </c>
      <c r="I39" s="796">
        <f t="shared" si="2"/>
        <v>63.3</v>
      </c>
      <c r="J39" s="798">
        <v>795</v>
      </c>
      <c r="K39" s="796">
        <f t="shared" si="3"/>
        <v>62.2</v>
      </c>
      <c r="L39" s="795">
        <v>848</v>
      </c>
      <c r="M39" s="796">
        <f t="shared" si="4"/>
        <v>66.3</v>
      </c>
      <c r="N39" s="797">
        <v>797</v>
      </c>
      <c r="O39" s="796">
        <f t="shared" si="5"/>
        <v>62.3</v>
      </c>
      <c r="P39" s="798">
        <v>795</v>
      </c>
      <c r="Q39" s="796">
        <f t="shared" si="6"/>
        <v>62.2</v>
      </c>
      <c r="R39" s="795">
        <v>828</v>
      </c>
      <c r="S39" s="796">
        <f t="shared" si="7"/>
        <v>64.7</v>
      </c>
      <c r="T39" s="798">
        <v>788</v>
      </c>
      <c r="U39" s="796">
        <f t="shared" si="8"/>
        <v>61.6</v>
      </c>
      <c r="V39" s="797">
        <v>666</v>
      </c>
      <c r="W39" s="796">
        <f t="shared" si="9"/>
        <v>52.1</v>
      </c>
      <c r="X39" s="799">
        <v>1277</v>
      </c>
      <c r="Y39" s="797">
        <v>818</v>
      </c>
      <c r="Z39" s="796">
        <f t="shared" si="10"/>
        <v>64.099999999999994</v>
      </c>
      <c r="AA39" s="795">
        <v>818</v>
      </c>
      <c r="AB39" s="796">
        <f t="shared" si="11"/>
        <v>64.099999999999994</v>
      </c>
      <c r="AC39" s="797">
        <v>848</v>
      </c>
      <c r="AD39" s="796">
        <f t="shared" si="12"/>
        <v>66.3</v>
      </c>
      <c r="AE39" s="798">
        <v>824</v>
      </c>
      <c r="AF39" s="796">
        <f t="shared" si="13"/>
        <v>64.400000000000006</v>
      </c>
      <c r="AG39" s="798">
        <v>785</v>
      </c>
      <c r="AH39" s="800">
        <f t="shared" si="14"/>
        <v>61.5</v>
      </c>
      <c r="AI39" s="798">
        <v>22</v>
      </c>
      <c r="AJ39" s="800">
        <f t="shared" si="15"/>
        <v>1.7</v>
      </c>
      <c r="AK39" s="798">
        <v>16</v>
      </c>
      <c r="AL39" s="801">
        <v>5</v>
      </c>
      <c r="AM39" s="795">
        <v>793</v>
      </c>
      <c r="AN39" s="796">
        <f t="shared" si="16"/>
        <v>62.1</v>
      </c>
      <c r="AO39" s="797">
        <v>817</v>
      </c>
      <c r="AP39" s="796">
        <f t="shared" si="17"/>
        <v>64</v>
      </c>
      <c r="AQ39" s="795">
        <v>728</v>
      </c>
      <c r="AR39" s="796">
        <f t="shared" si="18"/>
        <v>57.2</v>
      </c>
      <c r="AS39" s="797">
        <v>721</v>
      </c>
      <c r="AT39" s="796">
        <f t="shared" si="19"/>
        <v>56.7</v>
      </c>
      <c r="AU39" s="795">
        <v>737</v>
      </c>
      <c r="AV39" s="796">
        <f t="shared" si="20"/>
        <v>57.9</v>
      </c>
      <c r="AW39" s="797">
        <v>2631</v>
      </c>
      <c r="AX39" s="800">
        <f t="shared" si="21"/>
        <v>17.8</v>
      </c>
      <c r="AZ39" s="783">
        <v>1272</v>
      </c>
      <c r="BA39" s="783">
        <v>14764</v>
      </c>
    </row>
    <row r="40" spans="1:53" ht="15" customHeight="1" x14ac:dyDescent="0.2">
      <c r="A40" s="631" t="s">
        <v>277</v>
      </c>
      <c r="B40" s="272" t="s">
        <v>35</v>
      </c>
      <c r="C40" s="794">
        <v>33973</v>
      </c>
      <c r="D40" s="795">
        <v>32962</v>
      </c>
      <c r="E40" s="796">
        <f t="shared" si="0"/>
        <v>97</v>
      </c>
      <c r="F40" s="797">
        <v>28888</v>
      </c>
      <c r="G40" s="796">
        <f t="shared" si="1"/>
        <v>85</v>
      </c>
      <c r="H40" s="798">
        <v>27566</v>
      </c>
      <c r="I40" s="796">
        <f t="shared" si="2"/>
        <v>81.099999999999994</v>
      </c>
      <c r="J40" s="798">
        <v>32986</v>
      </c>
      <c r="K40" s="796">
        <f t="shared" si="3"/>
        <v>97.1</v>
      </c>
      <c r="L40" s="795">
        <v>33372</v>
      </c>
      <c r="M40" s="796">
        <f t="shared" si="4"/>
        <v>98.2</v>
      </c>
      <c r="N40" s="797">
        <v>33011</v>
      </c>
      <c r="O40" s="796">
        <f t="shared" si="5"/>
        <v>97.2</v>
      </c>
      <c r="P40" s="798">
        <v>32929</v>
      </c>
      <c r="Q40" s="796">
        <f t="shared" si="6"/>
        <v>96.9</v>
      </c>
      <c r="R40" s="795">
        <v>26702</v>
      </c>
      <c r="S40" s="796">
        <f t="shared" si="7"/>
        <v>78.599999999999994</v>
      </c>
      <c r="T40" s="798">
        <v>32275</v>
      </c>
      <c r="U40" s="796">
        <f t="shared" si="8"/>
        <v>95</v>
      </c>
      <c r="V40" s="797">
        <v>13368</v>
      </c>
      <c r="W40" s="796">
        <f t="shared" si="9"/>
        <v>39.299999999999997</v>
      </c>
      <c r="X40" s="799">
        <v>33963</v>
      </c>
      <c r="Y40" s="797">
        <v>32473</v>
      </c>
      <c r="Z40" s="796">
        <f t="shared" si="10"/>
        <v>95.6</v>
      </c>
      <c r="AA40" s="795">
        <v>32548</v>
      </c>
      <c r="AB40" s="796">
        <f t="shared" si="11"/>
        <v>95.8</v>
      </c>
      <c r="AC40" s="797">
        <v>29751</v>
      </c>
      <c r="AD40" s="796">
        <f t="shared" si="12"/>
        <v>87.6</v>
      </c>
      <c r="AE40" s="798">
        <v>26685</v>
      </c>
      <c r="AF40" s="796">
        <f t="shared" si="13"/>
        <v>78.5</v>
      </c>
      <c r="AG40" s="798">
        <v>5275</v>
      </c>
      <c r="AH40" s="800">
        <f t="shared" si="14"/>
        <v>15.5</v>
      </c>
      <c r="AI40" s="798">
        <v>5879</v>
      </c>
      <c r="AJ40" s="800">
        <f t="shared" si="15"/>
        <v>17.3</v>
      </c>
      <c r="AK40" s="798">
        <v>3799</v>
      </c>
      <c r="AL40" s="801">
        <v>5231</v>
      </c>
      <c r="AM40" s="795">
        <v>28256</v>
      </c>
      <c r="AN40" s="796">
        <f t="shared" si="16"/>
        <v>83.2</v>
      </c>
      <c r="AO40" s="797">
        <v>28420</v>
      </c>
      <c r="AP40" s="796">
        <f t="shared" si="17"/>
        <v>83.7</v>
      </c>
      <c r="AQ40" s="795">
        <v>26254</v>
      </c>
      <c r="AR40" s="796">
        <f t="shared" si="18"/>
        <v>77.7</v>
      </c>
      <c r="AS40" s="797">
        <v>26480</v>
      </c>
      <c r="AT40" s="796">
        <f t="shared" si="19"/>
        <v>78.400000000000006</v>
      </c>
      <c r="AU40" s="795">
        <v>25884</v>
      </c>
      <c r="AV40" s="796">
        <f t="shared" si="20"/>
        <v>76.599999999999994</v>
      </c>
      <c r="AW40" s="797">
        <v>75839</v>
      </c>
      <c r="AX40" s="800">
        <f t="shared" si="21"/>
        <v>18.2</v>
      </c>
      <c r="AZ40" s="783">
        <v>33782</v>
      </c>
      <c r="BA40" s="783">
        <v>416600</v>
      </c>
    </row>
    <row r="41" spans="1:53" ht="15" customHeight="1" x14ac:dyDescent="0.2">
      <c r="A41" s="631" t="s">
        <v>280</v>
      </c>
      <c r="B41" s="272" t="s">
        <v>36</v>
      </c>
      <c r="C41" s="794">
        <v>16963</v>
      </c>
      <c r="D41" s="795">
        <v>15895</v>
      </c>
      <c r="E41" s="796">
        <f t="shared" si="0"/>
        <v>93.7</v>
      </c>
      <c r="F41" s="797">
        <v>16424</v>
      </c>
      <c r="G41" s="796">
        <f t="shared" si="1"/>
        <v>96.8</v>
      </c>
      <c r="H41" s="798">
        <v>16065</v>
      </c>
      <c r="I41" s="796">
        <f t="shared" si="2"/>
        <v>94.7</v>
      </c>
      <c r="J41" s="798">
        <v>15894</v>
      </c>
      <c r="K41" s="796">
        <f t="shared" si="3"/>
        <v>93.7</v>
      </c>
      <c r="L41" s="795">
        <v>15680</v>
      </c>
      <c r="M41" s="796">
        <f t="shared" si="4"/>
        <v>92.4</v>
      </c>
      <c r="N41" s="797">
        <v>15894</v>
      </c>
      <c r="O41" s="796">
        <f t="shared" si="5"/>
        <v>93.7</v>
      </c>
      <c r="P41" s="798">
        <v>15894</v>
      </c>
      <c r="Q41" s="796">
        <f t="shared" si="6"/>
        <v>93.7</v>
      </c>
      <c r="R41" s="795">
        <v>16032</v>
      </c>
      <c r="S41" s="796">
        <f t="shared" si="7"/>
        <v>94.5</v>
      </c>
      <c r="T41" s="798">
        <v>15499</v>
      </c>
      <c r="U41" s="796">
        <f t="shared" si="8"/>
        <v>91.4</v>
      </c>
      <c r="V41" s="797">
        <v>7804</v>
      </c>
      <c r="W41" s="796">
        <f t="shared" si="9"/>
        <v>46</v>
      </c>
      <c r="X41" s="799">
        <v>16857</v>
      </c>
      <c r="Y41" s="797">
        <v>16508</v>
      </c>
      <c r="Z41" s="796">
        <f t="shared" si="10"/>
        <v>97.9</v>
      </c>
      <c r="AA41" s="795">
        <v>16635</v>
      </c>
      <c r="AB41" s="796">
        <f t="shared" si="11"/>
        <v>98.7</v>
      </c>
      <c r="AC41" s="797">
        <v>16800</v>
      </c>
      <c r="AD41" s="796">
        <f t="shared" si="12"/>
        <v>99</v>
      </c>
      <c r="AE41" s="798">
        <v>17011</v>
      </c>
      <c r="AF41" s="796">
        <f t="shared" si="13"/>
        <v>100.3</v>
      </c>
      <c r="AG41" s="798">
        <v>12469</v>
      </c>
      <c r="AH41" s="800">
        <f t="shared" si="14"/>
        <v>74</v>
      </c>
      <c r="AI41" s="798">
        <v>618</v>
      </c>
      <c r="AJ41" s="800">
        <f t="shared" si="15"/>
        <v>3.7</v>
      </c>
      <c r="AK41" s="798">
        <v>645</v>
      </c>
      <c r="AL41" s="801">
        <v>151</v>
      </c>
      <c r="AM41" s="795">
        <v>16101</v>
      </c>
      <c r="AN41" s="796">
        <f t="shared" si="16"/>
        <v>95.5</v>
      </c>
      <c r="AO41" s="797">
        <v>16101</v>
      </c>
      <c r="AP41" s="796">
        <f t="shared" si="17"/>
        <v>95.5</v>
      </c>
      <c r="AQ41" s="795">
        <v>16347</v>
      </c>
      <c r="AR41" s="796">
        <f t="shared" si="18"/>
        <v>98</v>
      </c>
      <c r="AS41" s="797">
        <v>16347</v>
      </c>
      <c r="AT41" s="796">
        <f t="shared" si="19"/>
        <v>98</v>
      </c>
      <c r="AU41" s="795">
        <v>16068</v>
      </c>
      <c r="AV41" s="796">
        <f t="shared" si="20"/>
        <v>96.3</v>
      </c>
      <c r="AW41" s="797">
        <v>35491</v>
      </c>
      <c r="AX41" s="800">
        <f t="shared" si="21"/>
        <v>24.1</v>
      </c>
      <c r="AZ41" s="783">
        <v>16688</v>
      </c>
      <c r="BA41" s="783">
        <v>147286</v>
      </c>
    </row>
    <row r="42" spans="1:53" ht="15" customHeight="1" x14ac:dyDescent="0.2">
      <c r="A42" s="631" t="s">
        <v>281</v>
      </c>
      <c r="B42" s="272" t="s">
        <v>37</v>
      </c>
      <c r="C42" s="794">
        <v>25703</v>
      </c>
      <c r="D42" s="795">
        <v>21751</v>
      </c>
      <c r="E42" s="796">
        <f t="shared" si="0"/>
        <v>84.6</v>
      </c>
      <c r="F42" s="797">
        <v>19873</v>
      </c>
      <c r="G42" s="796">
        <f t="shared" si="1"/>
        <v>77.3</v>
      </c>
      <c r="H42" s="798">
        <v>19680</v>
      </c>
      <c r="I42" s="796">
        <f t="shared" si="2"/>
        <v>76.599999999999994</v>
      </c>
      <c r="J42" s="798">
        <v>21749</v>
      </c>
      <c r="K42" s="796">
        <f t="shared" si="3"/>
        <v>84.6</v>
      </c>
      <c r="L42" s="795">
        <v>20054</v>
      </c>
      <c r="M42" s="796">
        <f t="shared" si="4"/>
        <v>78</v>
      </c>
      <c r="N42" s="797">
        <v>21618</v>
      </c>
      <c r="O42" s="796">
        <f t="shared" si="5"/>
        <v>84.1</v>
      </c>
      <c r="P42" s="798">
        <v>21657</v>
      </c>
      <c r="Q42" s="796">
        <f t="shared" si="6"/>
        <v>84.3</v>
      </c>
      <c r="R42" s="795">
        <v>19380</v>
      </c>
      <c r="S42" s="796">
        <f t="shared" si="7"/>
        <v>75.400000000000006</v>
      </c>
      <c r="T42" s="798">
        <v>19349</v>
      </c>
      <c r="U42" s="796">
        <f t="shared" si="8"/>
        <v>75.3</v>
      </c>
      <c r="V42" s="797">
        <v>12717</v>
      </c>
      <c r="W42" s="796">
        <f t="shared" si="9"/>
        <v>49.5</v>
      </c>
      <c r="X42" s="799">
        <v>25704</v>
      </c>
      <c r="Y42" s="797">
        <v>22165</v>
      </c>
      <c r="Z42" s="796">
        <f t="shared" si="10"/>
        <v>86.2</v>
      </c>
      <c r="AA42" s="795">
        <v>22108</v>
      </c>
      <c r="AB42" s="796">
        <f t="shared" si="11"/>
        <v>86</v>
      </c>
      <c r="AC42" s="797">
        <v>18339</v>
      </c>
      <c r="AD42" s="796">
        <f t="shared" si="12"/>
        <v>71.3</v>
      </c>
      <c r="AE42" s="798">
        <v>15596</v>
      </c>
      <c r="AF42" s="796">
        <f t="shared" si="13"/>
        <v>60.7</v>
      </c>
      <c r="AG42" s="798">
        <v>3569</v>
      </c>
      <c r="AH42" s="800">
        <f t="shared" si="14"/>
        <v>13.9</v>
      </c>
      <c r="AI42" s="798">
        <v>579</v>
      </c>
      <c r="AJ42" s="800">
        <f t="shared" si="15"/>
        <v>2.2999999999999998</v>
      </c>
      <c r="AK42" s="798">
        <v>429</v>
      </c>
      <c r="AL42" s="801">
        <v>438</v>
      </c>
      <c r="AM42" s="795">
        <v>23255</v>
      </c>
      <c r="AN42" s="796">
        <f t="shared" si="16"/>
        <v>90.5</v>
      </c>
      <c r="AO42" s="797">
        <v>23198</v>
      </c>
      <c r="AP42" s="796">
        <f t="shared" si="17"/>
        <v>90.3</v>
      </c>
      <c r="AQ42" s="795">
        <v>22597</v>
      </c>
      <c r="AR42" s="796">
        <f t="shared" si="18"/>
        <v>85.6</v>
      </c>
      <c r="AS42" s="797">
        <v>22591</v>
      </c>
      <c r="AT42" s="796">
        <f t="shared" si="19"/>
        <v>85.6</v>
      </c>
      <c r="AU42" s="795">
        <v>20936</v>
      </c>
      <c r="AV42" s="796">
        <f t="shared" si="20"/>
        <v>79.3</v>
      </c>
      <c r="AW42" s="797">
        <v>57816</v>
      </c>
      <c r="AX42" s="800">
        <f t="shared" si="21"/>
        <v>18.8</v>
      </c>
      <c r="AZ42" s="783">
        <v>26392</v>
      </c>
      <c r="BA42" s="783">
        <v>308222</v>
      </c>
    </row>
    <row r="43" spans="1:53" ht="15" customHeight="1" x14ac:dyDescent="0.2">
      <c r="A43" s="636" t="s">
        <v>282</v>
      </c>
      <c r="B43" s="272" t="s">
        <v>38</v>
      </c>
      <c r="C43" s="794">
        <v>73157</v>
      </c>
      <c r="D43" s="795">
        <v>73437</v>
      </c>
      <c r="E43" s="796">
        <f t="shared" si="0"/>
        <v>100.4</v>
      </c>
      <c r="F43" s="797">
        <v>72986</v>
      </c>
      <c r="G43" s="796">
        <f t="shared" si="1"/>
        <v>99.8</v>
      </c>
      <c r="H43" s="798">
        <v>69843</v>
      </c>
      <c r="I43" s="796">
        <f t="shared" si="2"/>
        <v>95.5</v>
      </c>
      <c r="J43" s="798">
        <v>72063</v>
      </c>
      <c r="K43" s="796">
        <f t="shared" si="3"/>
        <v>98.5</v>
      </c>
      <c r="L43" s="795">
        <v>64120</v>
      </c>
      <c r="M43" s="796">
        <f t="shared" si="4"/>
        <v>87.6</v>
      </c>
      <c r="N43" s="797">
        <v>72367</v>
      </c>
      <c r="O43" s="796">
        <f t="shared" si="5"/>
        <v>98.9</v>
      </c>
      <c r="P43" s="798">
        <v>71733</v>
      </c>
      <c r="Q43" s="796">
        <f t="shared" si="6"/>
        <v>98.1</v>
      </c>
      <c r="R43" s="795">
        <v>62613</v>
      </c>
      <c r="S43" s="796">
        <f t="shared" si="7"/>
        <v>85.6</v>
      </c>
      <c r="T43" s="798">
        <v>60711</v>
      </c>
      <c r="U43" s="796">
        <f t="shared" si="8"/>
        <v>83</v>
      </c>
      <c r="V43" s="797">
        <v>38867</v>
      </c>
      <c r="W43" s="796">
        <f t="shared" si="9"/>
        <v>53.1</v>
      </c>
      <c r="X43" s="799">
        <v>72815</v>
      </c>
      <c r="Y43" s="797">
        <v>69289</v>
      </c>
      <c r="Z43" s="796">
        <f t="shared" si="10"/>
        <v>95.2</v>
      </c>
      <c r="AA43" s="795">
        <v>68098</v>
      </c>
      <c r="AB43" s="796">
        <f t="shared" si="11"/>
        <v>93.5</v>
      </c>
      <c r="AC43" s="797">
        <v>44856</v>
      </c>
      <c r="AD43" s="796">
        <f t="shared" si="12"/>
        <v>61.3</v>
      </c>
      <c r="AE43" s="798">
        <v>37432</v>
      </c>
      <c r="AF43" s="796">
        <f t="shared" si="13"/>
        <v>51.2</v>
      </c>
      <c r="AG43" s="798">
        <v>21743</v>
      </c>
      <c r="AH43" s="800">
        <f t="shared" si="14"/>
        <v>29.9</v>
      </c>
      <c r="AI43" s="798">
        <v>2467</v>
      </c>
      <c r="AJ43" s="800">
        <f t="shared" si="15"/>
        <v>3.4</v>
      </c>
      <c r="AK43" s="798">
        <v>1809</v>
      </c>
      <c r="AL43" s="801">
        <v>3042</v>
      </c>
      <c r="AM43" s="795">
        <v>61678</v>
      </c>
      <c r="AN43" s="796">
        <f t="shared" si="16"/>
        <v>84.7</v>
      </c>
      <c r="AO43" s="797">
        <v>62534</v>
      </c>
      <c r="AP43" s="796">
        <f t="shared" si="17"/>
        <v>85.9</v>
      </c>
      <c r="AQ43" s="795">
        <v>62880</v>
      </c>
      <c r="AR43" s="796">
        <f t="shared" si="18"/>
        <v>88.1</v>
      </c>
      <c r="AS43" s="797">
        <v>64738</v>
      </c>
      <c r="AT43" s="796">
        <f t="shared" si="19"/>
        <v>90.7</v>
      </c>
      <c r="AU43" s="795">
        <v>59732</v>
      </c>
      <c r="AV43" s="796">
        <f t="shared" si="20"/>
        <v>83.7</v>
      </c>
      <c r="AW43" s="797">
        <v>250197</v>
      </c>
      <c r="AX43" s="800">
        <f t="shared" si="21"/>
        <v>26.7</v>
      </c>
      <c r="AZ43" s="783">
        <v>71355</v>
      </c>
      <c r="BA43" s="783">
        <v>937365</v>
      </c>
    </row>
    <row r="44" spans="1:53" ht="15" customHeight="1" x14ac:dyDescent="0.2">
      <c r="A44" s="636" t="s">
        <v>283</v>
      </c>
      <c r="B44" s="272" t="s">
        <v>128</v>
      </c>
      <c r="C44" s="794">
        <v>1231</v>
      </c>
      <c r="D44" s="795">
        <v>857</v>
      </c>
      <c r="E44" s="796">
        <f t="shared" si="0"/>
        <v>69.599999999999994</v>
      </c>
      <c r="F44" s="797">
        <v>833</v>
      </c>
      <c r="G44" s="796">
        <f t="shared" si="1"/>
        <v>67.7</v>
      </c>
      <c r="H44" s="798">
        <v>875</v>
      </c>
      <c r="I44" s="796">
        <f t="shared" si="2"/>
        <v>71.099999999999994</v>
      </c>
      <c r="J44" s="798">
        <v>856</v>
      </c>
      <c r="K44" s="796">
        <f t="shared" si="3"/>
        <v>69.5</v>
      </c>
      <c r="L44" s="795">
        <v>876</v>
      </c>
      <c r="M44" s="796">
        <f t="shared" si="4"/>
        <v>71.2</v>
      </c>
      <c r="N44" s="797">
        <v>885</v>
      </c>
      <c r="O44" s="796">
        <f t="shared" si="5"/>
        <v>71.900000000000006</v>
      </c>
      <c r="P44" s="798">
        <v>879</v>
      </c>
      <c r="Q44" s="796">
        <f t="shared" si="6"/>
        <v>71.400000000000006</v>
      </c>
      <c r="R44" s="795">
        <v>633</v>
      </c>
      <c r="S44" s="796">
        <f t="shared" si="7"/>
        <v>51.4</v>
      </c>
      <c r="T44" s="798">
        <v>571</v>
      </c>
      <c r="U44" s="796">
        <f t="shared" si="8"/>
        <v>46.4</v>
      </c>
      <c r="V44" s="797">
        <v>225</v>
      </c>
      <c r="W44" s="796">
        <f t="shared" si="9"/>
        <v>18.3</v>
      </c>
      <c r="X44" s="799">
        <v>1214</v>
      </c>
      <c r="Y44" s="797">
        <v>933</v>
      </c>
      <c r="Z44" s="796">
        <f t="shared" si="10"/>
        <v>76.900000000000006</v>
      </c>
      <c r="AA44" s="795">
        <v>906</v>
      </c>
      <c r="AB44" s="796">
        <f t="shared" si="11"/>
        <v>74.599999999999994</v>
      </c>
      <c r="AC44" s="797">
        <v>790</v>
      </c>
      <c r="AD44" s="796">
        <f t="shared" si="12"/>
        <v>64.2</v>
      </c>
      <c r="AE44" s="798">
        <v>828</v>
      </c>
      <c r="AF44" s="796">
        <f t="shared" si="13"/>
        <v>67.3</v>
      </c>
      <c r="AG44" s="798">
        <v>622</v>
      </c>
      <c r="AH44" s="800">
        <f t="shared" si="14"/>
        <v>51.2</v>
      </c>
      <c r="AI44" s="798">
        <v>152</v>
      </c>
      <c r="AJ44" s="800">
        <f t="shared" si="15"/>
        <v>12.5</v>
      </c>
      <c r="AK44" s="798">
        <v>157</v>
      </c>
      <c r="AL44" s="801">
        <v>107</v>
      </c>
      <c r="AM44" s="795">
        <v>775</v>
      </c>
      <c r="AN44" s="796">
        <f t="shared" si="16"/>
        <v>63.8</v>
      </c>
      <c r="AO44" s="797">
        <v>766</v>
      </c>
      <c r="AP44" s="796">
        <f t="shared" si="17"/>
        <v>63.1</v>
      </c>
      <c r="AQ44" s="795">
        <v>630</v>
      </c>
      <c r="AR44" s="796">
        <f t="shared" si="18"/>
        <v>55.2</v>
      </c>
      <c r="AS44" s="797">
        <v>624</v>
      </c>
      <c r="AT44" s="796">
        <f t="shared" si="19"/>
        <v>54.7</v>
      </c>
      <c r="AU44" s="795">
        <v>641</v>
      </c>
      <c r="AV44" s="796">
        <f t="shared" si="20"/>
        <v>56.2</v>
      </c>
      <c r="AW44" s="797">
        <v>892</v>
      </c>
      <c r="AX44" s="800">
        <f t="shared" si="21"/>
        <v>16.2</v>
      </c>
      <c r="AZ44" s="783">
        <v>1141</v>
      </c>
      <c r="BA44" s="783">
        <v>5493</v>
      </c>
    </row>
    <row r="45" spans="1:53" ht="15" customHeight="1" thickBot="1" x14ac:dyDescent="0.25">
      <c r="A45" s="639" t="s">
        <v>284</v>
      </c>
      <c r="B45" s="271" t="s">
        <v>40</v>
      </c>
      <c r="C45" s="809">
        <v>1941</v>
      </c>
      <c r="D45" s="810">
        <v>1356</v>
      </c>
      <c r="E45" s="811">
        <f t="shared" si="0"/>
        <v>69.900000000000006</v>
      </c>
      <c r="F45" s="812">
        <v>1252</v>
      </c>
      <c r="G45" s="811">
        <f t="shared" si="1"/>
        <v>64.5</v>
      </c>
      <c r="H45" s="813">
        <v>1121</v>
      </c>
      <c r="I45" s="811">
        <f t="shared" si="2"/>
        <v>57.8</v>
      </c>
      <c r="J45" s="813">
        <v>1224</v>
      </c>
      <c r="K45" s="811">
        <f t="shared" si="3"/>
        <v>63.1</v>
      </c>
      <c r="L45" s="810">
        <v>1026</v>
      </c>
      <c r="M45" s="811">
        <f t="shared" si="4"/>
        <v>52.9</v>
      </c>
      <c r="N45" s="812">
        <v>1223</v>
      </c>
      <c r="O45" s="811">
        <f t="shared" si="5"/>
        <v>63</v>
      </c>
      <c r="P45" s="813">
        <v>1224</v>
      </c>
      <c r="Q45" s="811">
        <f t="shared" si="6"/>
        <v>63.1</v>
      </c>
      <c r="R45" s="810">
        <v>983</v>
      </c>
      <c r="S45" s="811">
        <f t="shared" si="7"/>
        <v>50.6</v>
      </c>
      <c r="T45" s="813">
        <v>843</v>
      </c>
      <c r="U45" s="811">
        <f t="shared" si="8"/>
        <v>43.4</v>
      </c>
      <c r="V45" s="812">
        <v>856</v>
      </c>
      <c r="W45" s="811">
        <f t="shared" si="9"/>
        <v>44.1</v>
      </c>
      <c r="X45" s="814">
        <v>1912</v>
      </c>
      <c r="Y45" s="812">
        <v>1471</v>
      </c>
      <c r="Z45" s="811">
        <f t="shared" si="10"/>
        <v>76.900000000000006</v>
      </c>
      <c r="AA45" s="810">
        <v>1434</v>
      </c>
      <c r="AB45" s="811">
        <f t="shared" si="11"/>
        <v>75</v>
      </c>
      <c r="AC45" s="812">
        <v>1143</v>
      </c>
      <c r="AD45" s="811">
        <f t="shared" si="12"/>
        <v>58.9</v>
      </c>
      <c r="AE45" s="813">
        <v>1051</v>
      </c>
      <c r="AF45" s="811">
        <f t="shared" si="13"/>
        <v>54.1</v>
      </c>
      <c r="AG45" s="813">
        <v>911</v>
      </c>
      <c r="AH45" s="815">
        <f t="shared" si="14"/>
        <v>47.6</v>
      </c>
      <c r="AI45" s="813">
        <v>159</v>
      </c>
      <c r="AJ45" s="815">
        <f t="shared" si="15"/>
        <v>8.3000000000000007</v>
      </c>
      <c r="AK45" s="813">
        <v>75</v>
      </c>
      <c r="AL45" s="816">
        <v>16</v>
      </c>
      <c r="AM45" s="810">
        <v>1193</v>
      </c>
      <c r="AN45" s="811">
        <f t="shared" si="16"/>
        <v>62.4</v>
      </c>
      <c r="AO45" s="812">
        <v>1191</v>
      </c>
      <c r="AP45" s="811">
        <f t="shared" si="17"/>
        <v>62.3</v>
      </c>
      <c r="AQ45" s="810">
        <v>977</v>
      </c>
      <c r="AR45" s="811">
        <f t="shared" si="18"/>
        <v>54.1</v>
      </c>
      <c r="AS45" s="812">
        <v>975</v>
      </c>
      <c r="AT45" s="811">
        <f t="shared" si="19"/>
        <v>54</v>
      </c>
      <c r="AU45" s="810">
        <v>1102</v>
      </c>
      <c r="AV45" s="811">
        <f t="shared" si="20"/>
        <v>61</v>
      </c>
      <c r="AW45" s="812">
        <v>2231</v>
      </c>
      <c r="AX45" s="815">
        <f t="shared" si="21"/>
        <v>26.7</v>
      </c>
      <c r="AZ45" s="783">
        <v>1807</v>
      </c>
      <c r="BA45" s="783">
        <v>8355</v>
      </c>
    </row>
    <row r="46" spans="1:53" ht="15" customHeight="1" thickBot="1" x14ac:dyDescent="0.25">
      <c r="A46" s="818"/>
      <c r="B46" s="818" t="s">
        <v>41</v>
      </c>
      <c r="C46" s="819">
        <v>862072</v>
      </c>
      <c r="D46" s="820">
        <f>SUM(D10:D45)</f>
        <v>731393</v>
      </c>
      <c r="E46" s="821">
        <f t="shared" si="0"/>
        <v>84.8</v>
      </c>
      <c r="F46" s="820">
        <f>SUM(F10:F45)</f>
        <v>723585</v>
      </c>
      <c r="G46" s="821">
        <f t="shared" si="1"/>
        <v>83.9</v>
      </c>
      <c r="H46" s="820">
        <f>SUM(H10:H45)</f>
        <v>704103</v>
      </c>
      <c r="I46" s="821">
        <f t="shared" si="2"/>
        <v>81.7</v>
      </c>
      <c r="J46" s="820">
        <f>SUM(J10:J45)</f>
        <v>735288</v>
      </c>
      <c r="K46" s="821">
        <f t="shared" si="3"/>
        <v>85.3</v>
      </c>
      <c r="L46" s="820">
        <f>SUM(L10:L45)</f>
        <v>713137</v>
      </c>
      <c r="M46" s="821">
        <f t="shared" si="4"/>
        <v>82.7</v>
      </c>
      <c r="N46" s="820">
        <f>SUM(N10:N45)</f>
        <v>736814</v>
      </c>
      <c r="O46" s="821">
        <f t="shared" si="5"/>
        <v>85.5</v>
      </c>
      <c r="P46" s="820">
        <f>SUM(P10:P45)</f>
        <v>734458</v>
      </c>
      <c r="Q46" s="821">
        <f t="shared" si="6"/>
        <v>85.2</v>
      </c>
      <c r="R46" s="820">
        <f>SUM(R10:R45)</f>
        <v>687639</v>
      </c>
      <c r="S46" s="821">
        <f t="shared" si="7"/>
        <v>79.8</v>
      </c>
      <c r="T46" s="820">
        <f>SUM(T10:T45)</f>
        <v>670625</v>
      </c>
      <c r="U46" s="821">
        <f t="shared" si="8"/>
        <v>77.8</v>
      </c>
      <c r="V46" s="820">
        <f>SUM(V10:V45)</f>
        <v>330966</v>
      </c>
      <c r="W46" s="821">
        <f t="shared" si="9"/>
        <v>38.4</v>
      </c>
      <c r="X46" s="822">
        <v>858434</v>
      </c>
      <c r="Y46" s="820">
        <f>SUM(Y10:Y45)</f>
        <v>751987</v>
      </c>
      <c r="Z46" s="821">
        <f t="shared" si="10"/>
        <v>87.6</v>
      </c>
      <c r="AA46" s="820">
        <f>SUM(AA10:AA45)</f>
        <v>755569</v>
      </c>
      <c r="AB46" s="821">
        <f t="shared" si="11"/>
        <v>88</v>
      </c>
      <c r="AC46" s="820">
        <f>SUM(AC10:AC45)</f>
        <v>694108</v>
      </c>
      <c r="AD46" s="821">
        <f t="shared" si="12"/>
        <v>80.5</v>
      </c>
      <c r="AE46" s="820">
        <f>SUM(AE10:AE45)</f>
        <v>624193</v>
      </c>
      <c r="AF46" s="821">
        <f t="shared" si="13"/>
        <v>72.400000000000006</v>
      </c>
      <c r="AG46" s="820">
        <f>SUM(AG10:AG45)</f>
        <v>394178</v>
      </c>
      <c r="AH46" s="823">
        <f t="shared" si="14"/>
        <v>45.9</v>
      </c>
      <c r="AI46" s="820">
        <f>SUM(AI10:AI45)</f>
        <v>45792</v>
      </c>
      <c r="AJ46" s="823">
        <f t="shared" si="15"/>
        <v>5.3</v>
      </c>
      <c r="AK46" s="820">
        <f>SUM(AK10:AK45)</f>
        <v>27438</v>
      </c>
      <c r="AL46" s="820">
        <f>SUM(AL10:AL45)</f>
        <v>23438</v>
      </c>
      <c r="AM46" s="820">
        <f>SUM(AM10:AM45)</f>
        <v>697851</v>
      </c>
      <c r="AN46" s="821">
        <f t="shared" si="16"/>
        <v>81.3</v>
      </c>
      <c r="AO46" s="820">
        <f>SUM(AO10:AO45)</f>
        <v>691126</v>
      </c>
      <c r="AP46" s="821">
        <f t="shared" si="17"/>
        <v>80.5</v>
      </c>
      <c r="AQ46" s="820">
        <f>SUM(AQ10:AQ45)</f>
        <v>706108</v>
      </c>
      <c r="AR46" s="821">
        <f t="shared" si="18"/>
        <v>82.8</v>
      </c>
      <c r="AS46" s="820">
        <f>SUM(AS10:AS45)</f>
        <v>685927</v>
      </c>
      <c r="AT46" s="821">
        <f t="shared" si="19"/>
        <v>80.400000000000006</v>
      </c>
      <c r="AU46" s="820">
        <f>SUM(AU10:AU45)</f>
        <v>646922</v>
      </c>
      <c r="AV46" s="821">
        <f t="shared" si="20"/>
        <v>75.8</v>
      </c>
      <c r="AW46" s="820">
        <f>SUM(AW10:AW45)</f>
        <v>2039511</v>
      </c>
      <c r="AX46" s="823">
        <f t="shared" si="21"/>
        <v>22.9</v>
      </c>
      <c r="AZ46" s="783">
        <v>853016</v>
      </c>
      <c r="BA46" s="783">
        <v>8891181</v>
      </c>
    </row>
    <row r="47" spans="1:53" x14ac:dyDescent="0.2">
      <c r="A47" s="824"/>
      <c r="B47" s="824" t="s">
        <v>206</v>
      </c>
      <c r="AZ47" s="783">
        <v>63.2</v>
      </c>
    </row>
    <row r="48" spans="1:53" x14ac:dyDescent="0.2">
      <c r="B48" s="783" t="s">
        <v>207</v>
      </c>
      <c r="C48" s="825">
        <v>40920</v>
      </c>
    </row>
    <row r="49" spans="1:3" x14ac:dyDescent="0.2">
      <c r="B49" s="783" t="s">
        <v>208</v>
      </c>
      <c r="C49" s="825">
        <v>41304</v>
      </c>
    </row>
    <row r="50" spans="1:3" x14ac:dyDescent="0.2">
      <c r="C50" s="826">
        <f>ROUND(7.92*12,1)</f>
        <v>95</v>
      </c>
    </row>
    <row r="51" spans="1:3" x14ac:dyDescent="0.2">
      <c r="A51" s="760"/>
      <c r="B51" s="760" t="s">
        <v>223</v>
      </c>
      <c r="C51" s="827" t="s">
        <v>222</v>
      </c>
    </row>
    <row r="52" spans="1:3" x14ac:dyDescent="0.2">
      <c r="A52" s="828"/>
      <c r="B52" s="828" t="s">
        <v>221</v>
      </c>
      <c r="C52" s="829" t="s">
        <v>220</v>
      </c>
    </row>
    <row r="53" spans="1:3" x14ac:dyDescent="0.2">
      <c r="A53" s="830"/>
      <c r="B53" s="830" t="s">
        <v>219</v>
      </c>
      <c r="C53" s="829" t="s">
        <v>218</v>
      </c>
    </row>
    <row r="54" spans="1:3" x14ac:dyDescent="0.2">
      <c r="A54" s="831"/>
      <c r="B54" s="831" t="s">
        <v>217</v>
      </c>
      <c r="C54" s="829" t="s">
        <v>216</v>
      </c>
    </row>
    <row r="55" spans="1:3" x14ac:dyDescent="0.2">
      <c r="A55" s="832"/>
      <c r="B55" s="832" t="s">
        <v>215</v>
      </c>
      <c r="C55" s="829" t="s">
        <v>214</v>
      </c>
    </row>
    <row r="56" spans="1:3" x14ac:dyDescent="0.2">
      <c r="A56" s="833"/>
      <c r="B56" s="833" t="s">
        <v>213</v>
      </c>
      <c r="C56" s="288"/>
    </row>
  </sheetData>
  <conditionalFormatting sqref="E10:E46">
    <cfRule type="cellIs" dxfId="747" priority="49" stopIfTrue="1" operator="between">
      <formula>0.01</formula>
      <formula>49.9</formula>
    </cfRule>
    <cfRule type="cellIs" dxfId="746" priority="50" stopIfTrue="1" operator="between">
      <formula>50</formula>
      <formula>79.9</formula>
    </cfRule>
    <cfRule type="cellIs" dxfId="745" priority="51" stopIfTrue="1" operator="between">
      <formula>80</formula>
      <formula>94.9</formula>
    </cfRule>
    <cfRule type="cellIs" dxfId="744" priority="52" stopIfTrue="1" operator="greaterThanOrEqual">
      <formula>95</formula>
    </cfRule>
  </conditionalFormatting>
  <conditionalFormatting sqref="K10:K46">
    <cfRule type="cellIs" dxfId="743" priority="45" stopIfTrue="1" operator="between">
      <formula>0.01</formula>
      <formula>49.9</formula>
    </cfRule>
    <cfRule type="cellIs" dxfId="742" priority="46" stopIfTrue="1" operator="between">
      <formula>50</formula>
      <formula>79.9</formula>
    </cfRule>
    <cfRule type="cellIs" dxfId="741" priority="47" stopIfTrue="1" operator="between">
      <formula>80</formula>
      <formula>94.9</formula>
    </cfRule>
    <cfRule type="cellIs" dxfId="740" priority="48" stopIfTrue="1" operator="greaterThanOrEqual">
      <formula>95</formula>
    </cfRule>
  </conditionalFormatting>
  <conditionalFormatting sqref="M10:M46">
    <cfRule type="cellIs" dxfId="739" priority="41" stopIfTrue="1" operator="between">
      <formula>0.01</formula>
      <formula>49.9</formula>
    </cfRule>
    <cfRule type="cellIs" dxfId="738" priority="42" stopIfTrue="1" operator="between">
      <formula>50</formula>
      <formula>79.9</formula>
    </cfRule>
    <cfRule type="cellIs" dxfId="737" priority="43" stopIfTrue="1" operator="between">
      <formula>80</formula>
      <formula>94.9</formula>
    </cfRule>
    <cfRule type="cellIs" dxfId="736" priority="44" stopIfTrue="1" operator="greaterThanOrEqual">
      <formula>95</formula>
    </cfRule>
  </conditionalFormatting>
  <conditionalFormatting sqref="O10:O46">
    <cfRule type="cellIs" dxfId="735" priority="37" stopIfTrue="1" operator="between">
      <formula>0.01</formula>
      <formula>49.9</formula>
    </cfRule>
    <cfRule type="cellIs" dxfId="734" priority="38" stopIfTrue="1" operator="between">
      <formula>50</formula>
      <formula>79.9</formula>
    </cfRule>
    <cfRule type="cellIs" dxfId="733" priority="39" stopIfTrue="1" operator="between">
      <formula>80</formula>
      <formula>94.9</formula>
    </cfRule>
    <cfRule type="cellIs" dxfId="732" priority="40" stopIfTrue="1" operator="greaterThanOrEqual">
      <formula>95</formula>
    </cfRule>
  </conditionalFormatting>
  <conditionalFormatting sqref="Q10:Q46">
    <cfRule type="cellIs" dxfId="731" priority="33" stopIfTrue="1" operator="between">
      <formula>0.01</formula>
      <formula>49.9</formula>
    </cfRule>
    <cfRule type="cellIs" dxfId="730" priority="34" stopIfTrue="1" operator="between">
      <formula>50</formula>
      <formula>79.9</formula>
    </cfRule>
    <cfRule type="cellIs" dxfId="729" priority="35" stopIfTrue="1" operator="between">
      <formula>80</formula>
      <formula>94.9</formula>
    </cfRule>
    <cfRule type="cellIs" dxfId="728" priority="36" stopIfTrue="1" operator="greaterThanOrEqual">
      <formula>95</formula>
    </cfRule>
  </conditionalFormatting>
  <conditionalFormatting sqref="U10:U46">
    <cfRule type="cellIs" dxfId="727" priority="29" stopIfTrue="1" operator="between">
      <formula>0.01</formula>
      <formula>49.9</formula>
    </cfRule>
    <cfRule type="cellIs" dxfId="726" priority="30" stopIfTrue="1" operator="between">
      <formula>50</formula>
      <formula>79.9</formula>
    </cfRule>
    <cfRule type="cellIs" dxfId="725" priority="31" stopIfTrue="1" operator="between">
      <formula>80</formula>
      <formula>94.9</formula>
    </cfRule>
    <cfRule type="cellIs" dxfId="724" priority="32" stopIfTrue="1" operator="greaterThanOrEqual">
      <formula>95</formula>
    </cfRule>
  </conditionalFormatting>
  <conditionalFormatting sqref="Z10:Z46">
    <cfRule type="cellIs" dxfId="723" priority="25" stopIfTrue="1" operator="between">
      <formula>0.01</formula>
      <formula>49.9</formula>
    </cfRule>
    <cfRule type="cellIs" dxfId="722" priority="26" stopIfTrue="1" operator="between">
      <formula>50</formula>
      <formula>79.9</formula>
    </cfRule>
    <cfRule type="cellIs" dxfId="721" priority="27" stopIfTrue="1" operator="between">
      <formula>80</formula>
      <formula>94.9</formula>
    </cfRule>
    <cfRule type="cellIs" dxfId="720" priority="28" stopIfTrue="1" operator="greaterThanOrEqual">
      <formula>95</formula>
    </cfRule>
  </conditionalFormatting>
  <conditionalFormatting sqref="AB10:AB46">
    <cfRule type="cellIs" dxfId="719" priority="21" stopIfTrue="1" operator="between">
      <formula>0.01</formula>
      <formula>49.9</formula>
    </cfRule>
    <cfRule type="cellIs" dxfId="718" priority="22" stopIfTrue="1" operator="between">
      <formula>50</formula>
      <formula>79.9</formula>
    </cfRule>
    <cfRule type="cellIs" dxfId="717" priority="23" stopIfTrue="1" operator="between">
      <formula>80</formula>
      <formula>94.9</formula>
    </cfRule>
    <cfRule type="cellIs" dxfId="716" priority="24" stopIfTrue="1" operator="greaterThanOrEqual">
      <formula>95</formula>
    </cfRule>
  </conditionalFormatting>
  <conditionalFormatting sqref="AN10:AN46">
    <cfRule type="cellIs" dxfId="715" priority="17" stopIfTrue="1" operator="between">
      <formula>0.01</formula>
      <formula>49.9</formula>
    </cfRule>
    <cfRule type="cellIs" dxfId="714" priority="18" stopIfTrue="1" operator="between">
      <formula>50</formula>
      <formula>79.9</formula>
    </cfRule>
    <cfRule type="cellIs" dxfId="713" priority="19" stopIfTrue="1" operator="between">
      <formula>80</formula>
      <formula>94.9</formula>
    </cfRule>
    <cfRule type="cellIs" dxfId="712" priority="20" stopIfTrue="1" operator="greaterThanOrEqual">
      <formula>95</formula>
    </cfRule>
  </conditionalFormatting>
  <conditionalFormatting sqref="AP10:AP46">
    <cfRule type="cellIs" dxfId="711" priority="13" stopIfTrue="1" operator="between">
      <formula>0.01</formula>
      <formula>49.9</formula>
    </cfRule>
    <cfRule type="cellIs" dxfId="710" priority="14" stopIfTrue="1" operator="between">
      <formula>50</formula>
      <formula>79.9</formula>
    </cfRule>
    <cfRule type="cellIs" dxfId="709" priority="15" stopIfTrue="1" operator="between">
      <formula>80</formula>
      <formula>94.9</formula>
    </cfRule>
    <cfRule type="cellIs" dxfId="708" priority="16" stopIfTrue="1" operator="greaterThanOrEqual">
      <formula>95</formula>
    </cfRule>
  </conditionalFormatting>
  <conditionalFormatting sqref="AR10:AR46">
    <cfRule type="cellIs" dxfId="707" priority="9" stopIfTrue="1" operator="between">
      <formula>0.01</formula>
      <formula>49.9</formula>
    </cfRule>
    <cfRule type="cellIs" dxfId="706" priority="10" stopIfTrue="1" operator="between">
      <formula>50</formula>
      <formula>79.9</formula>
    </cfRule>
    <cfRule type="cellIs" dxfId="705" priority="11" stopIfTrue="1" operator="between">
      <formula>80</formula>
      <formula>94.9</formula>
    </cfRule>
    <cfRule type="cellIs" dxfId="704" priority="12" stopIfTrue="1" operator="greaterThanOrEqual">
      <formula>95</formula>
    </cfRule>
  </conditionalFormatting>
  <conditionalFormatting sqref="AT10:AT46">
    <cfRule type="cellIs" dxfId="703" priority="5" stopIfTrue="1" operator="between">
      <formula>0.01</formula>
      <formula>49.9</formula>
    </cfRule>
    <cfRule type="cellIs" dxfId="702" priority="6" stopIfTrue="1" operator="between">
      <formula>50</formula>
      <formula>79.9</formula>
    </cfRule>
    <cfRule type="cellIs" dxfId="701" priority="7" stopIfTrue="1" operator="between">
      <formula>80</formula>
      <formula>94.9</formula>
    </cfRule>
    <cfRule type="cellIs" dxfId="700" priority="8" stopIfTrue="1" operator="greaterThanOrEqual">
      <formula>95</formula>
    </cfRule>
  </conditionalFormatting>
  <conditionalFormatting sqref="AV10:AV46">
    <cfRule type="cellIs" dxfId="699" priority="1" stopIfTrue="1" operator="between">
      <formula>0.01</formula>
      <formula>49.9</formula>
    </cfRule>
    <cfRule type="cellIs" dxfId="698" priority="2" stopIfTrue="1" operator="between">
      <formula>50</formula>
      <formula>79.9</formula>
    </cfRule>
    <cfRule type="cellIs" dxfId="697" priority="3" stopIfTrue="1" operator="between">
      <formula>80</formula>
      <formula>94.9</formula>
    </cfRule>
    <cfRule type="cellIs" dxfId="696" priority="4" stopIfTrue="1" operator="greaterThanOrEqual">
      <formula>95</formula>
    </cfRule>
  </conditionalFormatting>
  <printOptions horizontalCentered="1"/>
  <pageMargins left="0.39370078740157483" right="0.27559055118110237" top="0.7" bottom="0.27559055118110237" header="0.31496062992125984" footer="0.19685039370078741"/>
  <pageSetup scale="65" orientation="landscape" verticalDpi="4294967295" r:id="rId1"/>
  <headerFooter>
    <oddHeader>&amp;C&amp;"Arial,Negrita"Ministerio de la Protección Social
República de Colombia</oddHeader>
    <oddFooter>&amp;C&amp;F&amp;R&amp;D - * - Página &amp;P</oddFooter>
  </headerFooter>
  <colBreaks count="1" manualBreakCount="1">
    <brk id="23" max="1048575" man="1"/>
  </col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CC"/>
  </sheetPr>
  <dimension ref="A5:BB61"/>
  <sheetViews>
    <sheetView zoomScale="90" zoomScaleNormal="90" workbookViewId="0">
      <pane xSplit="3" ySplit="9" topLeftCell="D10" activePane="bottomRight" state="frozen"/>
      <selection activeCell="H29" sqref="H29"/>
      <selection pane="topRight" activeCell="H29" sqref="H29"/>
      <selection pane="bottomLeft" activeCell="H29" sqref="H29"/>
      <selection pane="bottomRight" activeCell="D10" sqref="D10"/>
    </sheetView>
  </sheetViews>
  <sheetFormatPr baseColWidth="10" defaultRowHeight="12" x14ac:dyDescent="0.2"/>
  <cols>
    <col min="1" max="1" width="6.85546875" style="735" bestFit="1" customWidth="1"/>
    <col min="2" max="2" width="22.7109375" style="735" customWidth="1"/>
    <col min="3" max="3" width="13.7109375" style="735" customWidth="1"/>
    <col min="4" max="4" width="11.7109375" style="735" customWidth="1"/>
    <col min="5" max="5" width="7.7109375" style="735" customWidth="1"/>
    <col min="6" max="6" width="11.7109375" style="735" customWidth="1"/>
    <col min="7" max="7" width="7.7109375" style="735" customWidth="1"/>
    <col min="8" max="8" width="11.7109375" style="735" customWidth="1"/>
    <col min="9" max="9" width="7.7109375" style="735" customWidth="1"/>
    <col min="10" max="10" width="11.7109375" style="735" customWidth="1"/>
    <col min="11" max="11" width="7.7109375" style="735" customWidth="1"/>
    <col min="12" max="12" width="11.7109375" style="735" customWidth="1"/>
    <col min="13" max="13" width="7.7109375" style="735" customWidth="1"/>
    <col min="14" max="14" width="11.7109375" style="735" customWidth="1"/>
    <col min="15" max="15" width="7.7109375" style="735" customWidth="1"/>
    <col min="16" max="16" width="11.7109375" style="735" customWidth="1"/>
    <col min="17" max="17" width="7.7109375" style="735" customWidth="1"/>
    <col min="18" max="18" width="11.7109375" style="735" customWidth="1"/>
    <col min="19" max="19" width="7.7109375" style="735" customWidth="1"/>
    <col min="20" max="20" width="11.7109375" style="735" customWidth="1"/>
    <col min="21" max="21" width="7.7109375" style="735" customWidth="1"/>
    <col min="22" max="22" width="11.7109375" style="735" customWidth="1"/>
    <col min="23" max="23" width="7.7109375" style="735" customWidth="1"/>
    <col min="24" max="24" width="11.7109375" style="735" customWidth="1"/>
    <col min="25" max="25" width="7.7109375" style="735" customWidth="1"/>
    <col min="26" max="26" width="13.85546875" style="735" customWidth="1"/>
    <col min="27" max="27" width="11.7109375" style="735" customWidth="1"/>
    <col min="28" max="28" width="7.7109375" style="735" customWidth="1"/>
    <col min="29" max="29" width="11.7109375" style="735" customWidth="1"/>
    <col min="30" max="30" width="7.7109375" style="735" customWidth="1"/>
    <col min="31" max="31" width="11.7109375" style="735" customWidth="1"/>
    <col min="32" max="32" width="7.7109375" style="735" customWidth="1"/>
    <col min="33" max="33" width="11.7109375" style="735" customWidth="1"/>
    <col min="34" max="34" width="7.7109375" style="735" customWidth="1"/>
    <col min="35" max="35" width="11.7109375" style="735" customWidth="1"/>
    <col min="36" max="36" width="7.7109375" style="735" customWidth="1"/>
    <col min="37" max="37" width="11.7109375" style="735" customWidth="1"/>
    <col min="38" max="38" width="7.7109375" style="735" customWidth="1"/>
    <col min="39" max="41" width="11.7109375" style="735" customWidth="1"/>
    <col min="42" max="42" width="7.7109375" style="735" customWidth="1"/>
    <col min="43" max="43" width="11.7109375" style="735" customWidth="1"/>
    <col min="44" max="44" width="7.7109375" style="735" customWidth="1"/>
    <col min="45" max="45" width="13" style="735" customWidth="1"/>
    <col min="46" max="46" width="11.7109375" style="735" customWidth="1"/>
    <col min="47" max="47" width="7.7109375" style="735" customWidth="1"/>
    <col min="48" max="48" width="11.7109375" style="735" customWidth="1"/>
    <col min="49" max="49" width="7.7109375" style="735" customWidth="1"/>
    <col min="50" max="50" width="11.7109375" style="735" customWidth="1"/>
    <col min="51" max="51" width="7.7109375" style="735" customWidth="1"/>
    <col min="52" max="16384" width="11.42578125" style="735"/>
  </cols>
  <sheetData>
    <row r="5" spans="1:54" x14ac:dyDescent="0.2">
      <c r="A5" s="702" t="s">
        <v>305</v>
      </c>
      <c r="C5" s="753" t="s">
        <v>310</v>
      </c>
    </row>
    <row r="6" spans="1:54" x14ac:dyDescent="0.2">
      <c r="A6" s="702" t="s">
        <v>306</v>
      </c>
      <c r="C6" s="776">
        <v>41284</v>
      </c>
    </row>
    <row r="7" spans="1:54" x14ac:dyDescent="0.2">
      <c r="A7" s="702" t="s">
        <v>307</v>
      </c>
      <c r="C7" s="766" t="s">
        <v>309</v>
      </c>
    </row>
    <row r="8" spans="1:54" ht="12.75" thickBot="1" x14ac:dyDescent="0.25">
      <c r="A8" s="702"/>
      <c r="C8" s="766"/>
    </row>
    <row r="9" spans="1:54" ht="66" customHeight="1" thickBot="1" x14ac:dyDescent="0.25">
      <c r="A9" s="659" t="s">
        <v>140</v>
      </c>
      <c r="B9" s="777" t="s">
        <v>210</v>
      </c>
      <c r="C9" s="778" t="s">
        <v>288</v>
      </c>
      <c r="D9" s="661" t="s">
        <v>158</v>
      </c>
      <c r="E9" s="662" t="s">
        <v>159</v>
      </c>
      <c r="F9" s="663" t="s">
        <v>160</v>
      </c>
      <c r="G9" s="664" t="s">
        <v>161</v>
      </c>
      <c r="H9" s="665" t="s">
        <v>162</v>
      </c>
      <c r="I9" s="666" t="s">
        <v>163</v>
      </c>
      <c r="J9" s="667" t="s">
        <v>237</v>
      </c>
      <c r="K9" s="668" t="s">
        <v>164</v>
      </c>
      <c r="L9" s="621" t="s">
        <v>165</v>
      </c>
      <c r="M9" s="670" t="s">
        <v>166</v>
      </c>
      <c r="N9" s="671" t="s">
        <v>226</v>
      </c>
      <c r="O9" s="672" t="s">
        <v>285</v>
      </c>
      <c r="P9" s="667" t="s">
        <v>167</v>
      </c>
      <c r="Q9" s="668" t="s">
        <v>168</v>
      </c>
      <c r="R9" s="667" t="s">
        <v>169</v>
      </c>
      <c r="S9" s="668" t="s">
        <v>209</v>
      </c>
      <c r="T9" s="673" t="s">
        <v>170</v>
      </c>
      <c r="U9" s="674" t="s">
        <v>171</v>
      </c>
      <c r="V9" s="675" t="s">
        <v>172</v>
      </c>
      <c r="W9" s="676" t="s">
        <v>173</v>
      </c>
      <c r="X9" s="677" t="s">
        <v>174</v>
      </c>
      <c r="Y9" s="678" t="s">
        <v>175</v>
      </c>
      <c r="Z9" s="779" t="s">
        <v>286</v>
      </c>
      <c r="AA9" s="681" t="s">
        <v>177</v>
      </c>
      <c r="AB9" s="682" t="s">
        <v>178</v>
      </c>
      <c r="AC9" s="683" t="s">
        <v>179</v>
      </c>
      <c r="AD9" s="684" t="s">
        <v>180</v>
      </c>
      <c r="AE9" s="685" t="s">
        <v>181</v>
      </c>
      <c r="AF9" s="686" t="s">
        <v>182</v>
      </c>
      <c r="AG9" s="687" t="s">
        <v>183</v>
      </c>
      <c r="AH9" s="688" t="s">
        <v>184</v>
      </c>
      <c r="AI9" s="685" t="s">
        <v>185</v>
      </c>
      <c r="AJ9" s="689" t="s">
        <v>186</v>
      </c>
      <c r="AK9" s="689" t="s">
        <v>187</v>
      </c>
      <c r="AL9" s="689" t="s">
        <v>188</v>
      </c>
      <c r="AM9" s="689" t="s">
        <v>189</v>
      </c>
      <c r="AN9" s="686" t="s">
        <v>190</v>
      </c>
      <c r="AO9" s="691" t="s">
        <v>191</v>
      </c>
      <c r="AP9" s="662" t="s">
        <v>192</v>
      </c>
      <c r="AQ9" s="692" t="s">
        <v>193</v>
      </c>
      <c r="AR9" s="693" t="s">
        <v>194</v>
      </c>
      <c r="AS9" s="778" t="s">
        <v>287</v>
      </c>
      <c r="AT9" s="691" t="s">
        <v>195</v>
      </c>
      <c r="AU9" s="662" t="s">
        <v>196</v>
      </c>
      <c r="AV9" s="695" t="s">
        <v>197</v>
      </c>
      <c r="AW9" s="696" t="s">
        <v>198</v>
      </c>
      <c r="AX9" s="697" t="s">
        <v>199</v>
      </c>
      <c r="AY9" s="698" t="s">
        <v>200</v>
      </c>
      <c r="AZ9" s="2016" t="s">
        <v>529</v>
      </c>
      <c r="BA9" s="2017" t="s">
        <v>201</v>
      </c>
      <c r="BB9" s="2009" t="s">
        <v>202</v>
      </c>
    </row>
    <row r="10" spans="1:54" ht="17.100000000000001" customHeight="1" x14ac:dyDescent="0.2">
      <c r="A10" s="623">
        <v>91</v>
      </c>
      <c r="B10" s="273" t="s">
        <v>12</v>
      </c>
      <c r="C10" s="736">
        <v>1866</v>
      </c>
      <c r="D10" s="274">
        <v>1597</v>
      </c>
      <c r="E10" s="275">
        <f t="shared" ref="E10:E46" si="0">ROUND(D10/$C10*100,1)</f>
        <v>85.6</v>
      </c>
      <c r="F10" s="276">
        <v>1765</v>
      </c>
      <c r="G10" s="275">
        <f t="shared" ref="G10:G46" si="1">ROUND(F10/$C10*100,1)</f>
        <v>94.6</v>
      </c>
      <c r="H10" s="277">
        <v>1765</v>
      </c>
      <c r="I10" s="275">
        <f t="shared" ref="I10:I46" si="2">ROUND(H10/$C10*100,1)</f>
        <v>94.6</v>
      </c>
      <c r="J10" s="277">
        <v>1598</v>
      </c>
      <c r="K10" s="275">
        <f t="shared" ref="K10:K46" si="3">ROUND(J10/$C10*100,1)</f>
        <v>85.6</v>
      </c>
      <c r="L10" s="274">
        <v>1844</v>
      </c>
      <c r="M10" s="275">
        <f t="shared" ref="M10:M46" si="4">ROUND(L10/$C10*100,1)</f>
        <v>98.8</v>
      </c>
      <c r="N10" s="278">
        <v>1671</v>
      </c>
      <c r="O10" s="275">
        <f t="shared" ref="O10:O46" si="5">ROUND(N10/$C10*100,1)</f>
        <v>89.5</v>
      </c>
      <c r="P10" s="276">
        <v>1598</v>
      </c>
      <c r="Q10" s="279">
        <f t="shared" ref="Q10:Q46" si="6">ROUND(P10/$C10*100,1)</f>
        <v>85.6</v>
      </c>
      <c r="R10" s="276">
        <v>1598</v>
      </c>
      <c r="S10" s="275">
        <f t="shared" ref="S10:S46" si="7">ROUND(R10/$C10*100,1)</f>
        <v>85.6</v>
      </c>
      <c r="T10" s="274">
        <v>1623</v>
      </c>
      <c r="U10" s="275">
        <f>ROUND(T10/C10*100,1)</f>
        <v>87</v>
      </c>
      <c r="V10" s="277">
        <v>1621</v>
      </c>
      <c r="W10" s="275">
        <f t="shared" ref="W10:W46" si="8">ROUND(V10/$C10*100,1)</f>
        <v>86.9</v>
      </c>
      <c r="X10" s="280">
        <v>403</v>
      </c>
      <c r="Y10" s="275">
        <f t="shared" ref="Y10:Y46" si="9">X10/$C10*100</f>
        <v>21.596998928188636</v>
      </c>
      <c r="Z10" s="737">
        <v>1828</v>
      </c>
      <c r="AA10" s="281">
        <v>1674</v>
      </c>
      <c r="AB10" s="275">
        <f t="shared" ref="AB10:AB46" si="10">ROUND(AA10/$Z10*100,1)</f>
        <v>91.6</v>
      </c>
      <c r="AC10" s="274">
        <v>1667</v>
      </c>
      <c r="AD10" s="275">
        <f t="shared" ref="AD10:AD46" si="11">ROUND(AC10/$Z10*100,1)</f>
        <v>91.2</v>
      </c>
      <c r="AE10" s="276">
        <v>1779</v>
      </c>
      <c r="AF10" s="275">
        <f t="shared" ref="AF10:AF46" si="12">ROUND(AE10/$C10*100,1)</f>
        <v>95.3</v>
      </c>
      <c r="AG10" s="277">
        <v>1805</v>
      </c>
      <c r="AH10" s="275">
        <f t="shared" ref="AH10:AH46" si="13">ROUND(AG10/$C10*100,1)</f>
        <v>96.7</v>
      </c>
      <c r="AI10" s="277">
        <v>1575</v>
      </c>
      <c r="AJ10" s="275">
        <f t="shared" ref="AJ10:AJ46" si="14">ROUND(AI10/$Z10*100,1)</f>
        <v>86.2</v>
      </c>
      <c r="AK10" s="277">
        <v>6</v>
      </c>
      <c r="AL10" s="282">
        <f>AK10/Z10*100</f>
        <v>0.32822757111597373</v>
      </c>
      <c r="AM10" s="277">
        <v>35</v>
      </c>
      <c r="AN10" s="283">
        <v>1</v>
      </c>
      <c r="AO10" s="276">
        <v>1572</v>
      </c>
      <c r="AP10" s="275">
        <f t="shared" ref="AP10:AP46" si="15">ROUND(AO10/$Z10*100,1)</f>
        <v>86</v>
      </c>
      <c r="AQ10" s="276">
        <v>1566</v>
      </c>
      <c r="AR10" s="275">
        <f t="shared" ref="AR10:AR46" si="16">ROUND(AQ10/$Z10*100,1)</f>
        <v>85.7</v>
      </c>
      <c r="AS10" s="738">
        <v>1681</v>
      </c>
      <c r="AT10" s="284">
        <v>1427</v>
      </c>
      <c r="AU10" s="275">
        <f t="shared" ref="AU10:AU46" si="17">ROUND(AT10/$AS10*100,1)</f>
        <v>84.9</v>
      </c>
      <c r="AV10" s="274">
        <v>1431</v>
      </c>
      <c r="AW10" s="275">
        <f t="shared" ref="AW10:AW46" si="18">ROUND(AV10/$AS10*100,1)</f>
        <v>85.1</v>
      </c>
      <c r="AX10" s="276">
        <v>1432</v>
      </c>
      <c r="AY10" s="2010">
        <f t="shared" ref="AY10:AY46" si="19">ROUND(AX10/$AS10*100,1)</f>
        <v>85.2</v>
      </c>
      <c r="AZ10" s="2020">
        <v>7850</v>
      </c>
      <c r="BA10" s="2021">
        <v>1311</v>
      </c>
      <c r="BB10" s="2015">
        <f>BA10/AZ10*100</f>
        <v>16.70063694267516</v>
      </c>
    </row>
    <row r="11" spans="1:54" ht="17.100000000000001" customHeight="1" x14ac:dyDescent="0.2">
      <c r="A11" s="627" t="s">
        <v>141</v>
      </c>
      <c r="B11" s="285" t="s">
        <v>11</v>
      </c>
      <c r="C11" s="739">
        <v>86265</v>
      </c>
      <c r="D11" s="286">
        <v>75927</v>
      </c>
      <c r="E11" s="279">
        <f t="shared" si="0"/>
        <v>88</v>
      </c>
      <c r="F11" s="287">
        <v>79526</v>
      </c>
      <c r="G11" s="279">
        <f t="shared" si="1"/>
        <v>92.2</v>
      </c>
      <c r="H11" s="288">
        <v>77690</v>
      </c>
      <c r="I11" s="279">
        <f t="shared" si="2"/>
        <v>90.1</v>
      </c>
      <c r="J11" s="288">
        <v>76094</v>
      </c>
      <c r="K11" s="279">
        <f t="shared" si="3"/>
        <v>88.2</v>
      </c>
      <c r="L11" s="286">
        <v>81025</v>
      </c>
      <c r="M11" s="279">
        <f t="shared" si="4"/>
        <v>93.9</v>
      </c>
      <c r="N11" s="289">
        <v>79165</v>
      </c>
      <c r="O11" s="279">
        <f t="shared" si="5"/>
        <v>91.8</v>
      </c>
      <c r="P11" s="287">
        <v>75924</v>
      </c>
      <c r="Q11" s="279">
        <f t="shared" si="6"/>
        <v>88</v>
      </c>
      <c r="R11" s="287">
        <v>76105</v>
      </c>
      <c r="S11" s="279">
        <f t="shared" si="7"/>
        <v>88.2</v>
      </c>
      <c r="T11" s="286">
        <v>77653</v>
      </c>
      <c r="U11" s="279">
        <f>ROUND(T11/C11*100,1)</f>
        <v>90</v>
      </c>
      <c r="V11" s="288">
        <v>75246</v>
      </c>
      <c r="W11" s="279">
        <f t="shared" si="8"/>
        <v>87.2</v>
      </c>
      <c r="X11" s="290">
        <v>31030</v>
      </c>
      <c r="Y11" s="279">
        <f t="shared" si="9"/>
        <v>35.970555845360224</v>
      </c>
      <c r="Z11" s="740">
        <v>86065</v>
      </c>
      <c r="AA11" s="291">
        <v>78727</v>
      </c>
      <c r="AB11" s="279">
        <f t="shared" si="10"/>
        <v>91.5</v>
      </c>
      <c r="AC11" s="286">
        <v>78425</v>
      </c>
      <c r="AD11" s="279">
        <f t="shared" si="11"/>
        <v>91.1</v>
      </c>
      <c r="AE11" s="287">
        <v>81837</v>
      </c>
      <c r="AF11" s="279">
        <f t="shared" si="12"/>
        <v>94.9</v>
      </c>
      <c r="AG11" s="288">
        <v>81774</v>
      </c>
      <c r="AH11" s="279">
        <f t="shared" si="13"/>
        <v>94.8</v>
      </c>
      <c r="AI11" s="288">
        <v>63806</v>
      </c>
      <c r="AJ11" s="279">
        <f t="shared" si="14"/>
        <v>74.099999999999994</v>
      </c>
      <c r="AK11" s="288">
        <v>1964</v>
      </c>
      <c r="AL11" s="292">
        <f>AK11/Z11*100</f>
        <v>2.2819961656887235</v>
      </c>
      <c r="AM11" s="288">
        <v>4227</v>
      </c>
      <c r="AN11" s="293">
        <v>399</v>
      </c>
      <c r="AO11" s="287">
        <v>70461</v>
      </c>
      <c r="AP11" s="279">
        <f t="shared" si="15"/>
        <v>81.900000000000006</v>
      </c>
      <c r="AQ11" s="287">
        <v>70127</v>
      </c>
      <c r="AR11" s="279">
        <f t="shared" si="16"/>
        <v>81.5</v>
      </c>
      <c r="AS11" s="741">
        <v>85039</v>
      </c>
      <c r="AT11" s="294">
        <v>85844</v>
      </c>
      <c r="AU11" s="279">
        <f t="shared" si="17"/>
        <v>100.9</v>
      </c>
      <c r="AV11" s="286">
        <v>85581</v>
      </c>
      <c r="AW11" s="279">
        <f t="shared" si="18"/>
        <v>100.6</v>
      </c>
      <c r="AX11" s="287">
        <v>1013</v>
      </c>
      <c r="AY11" s="2011">
        <f t="shared" si="19"/>
        <v>1.2</v>
      </c>
      <c r="AZ11" s="2022">
        <v>1322700</v>
      </c>
      <c r="BA11" s="2023">
        <v>248022</v>
      </c>
      <c r="BB11" s="2014">
        <f t="shared" ref="BB11:BB45" si="20">BA11/AZ11*100</f>
        <v>18.751190746200951</v>
      </c>
    </row>
    <row r="12" spans="1:54" ht="17.100000000000001" customHeight="1" x14ac:dyDescent="0.2">
      <c r="A12" s="631" t="s">
        <v>255</v>
      </c>
      <c r="B12" s="295" t="s">
        <v>13</v>
      </c>
      <c r="C12" s="739">
        <v>4842</v>
      </c>
      <c r="D12" s="286">
        <v>4274</v>
      </c>
      <c r="E12" s="279">
        <f t="shared" si="0"/>
        <v>88.3</v>
      </c>
      <c r="F12" s="287">
        <v>4370</v>
      </c>
      <c r="G12" s="279">
        <f t="shared" si="1"/>
        <v>90.3</v>
      </c>
      <c r="H12" s="288">
        <v>4400</v>
      </c>
      <c r="I12" s="279">
        <f t="shared" si="2"/>
        <v>90.9</v>
      </c>
      <c r="J12" s="288">
        <v>4280</v>
      </c>
      <c r="K12" s="279">
        <f t="shared" si="3"/>
        <v>88.4</v>
      </c>
      <c r="L12" s="286">
        <v>4416</v>
      </c>
      <c r="M12" s="279">
        <f t="shared" si="4"/>
        <v>91.2</v>
      </c>
      <c r="N12" s="289">
        <v>4345</v>
      </c>
      <c r="O12" s="279">
        <f t="shared" si="5"/>
        <v>89.7</v>
      </c>
      <c r="P12" s="287">
        <v>4286</v>
      </c>
      <c r="Q12" s="279">
        <f t="shared" si="6"/>
        <v>88.5</v>
      </c>
      <c r="R12" s="287">
        <v>4280</v>
      </c>
      <c r="S12" s="279">
        <f t="shared" si="7"/>
        <v>88.4</v>
      </c>
      <c r="T12" s="286">
        <v>4161</v>
      </c>
      <c r="U12" s="279">
        <f t="shared" ref="U12:U45" si="21">ROUND(T12/C12*100,1)</f>
        <v>85.9</v>
      </c>
      <c r="V12" s="288">
        <v>4167</v>
      </c>
      <c r="W12" s="279">
        <f t="shared" si="8"/>
        <v>86.1</v>
      </c>
      <c r="X12" s="290">
        <v>1392</v>
      </c>
      <c r="Y12" s="279">
        <f t="shared" si="9"/>
        <v>28.74845105328377</v>
      </c>
      <c r="Z12" s="740">
        <v>5040</v>
      </c>
      <c r="AA12" s="291">
        <v>4510</v>
      </c>
      <c r="AB12" s="279">
        <f t="shared" si="10"/>
        <v>89.5</v>
      </c>
      <c r="AC12" s="286">
        <v>4507</v>
      </c>
      <c r="AD12" s="279">
        <f t="shared" si="11"/>
        <v>89.4</v>
      </c>
      <c r="AE12" s="287">
        <v>4382</v>
      </c>
      <c r="AF12" s="279">
        <f t="shared" si="12"/>
        <v>90.5</v>
      </c>
      <c r="AG12" s="288">
        <v>4435</v>
      </c>
      <c r="AH12" s="279">
        <f t="shared" si="13"/>
        <v>91.6</v>
      </c>
      <c r="AI12" s="288">
        <v>4323</v>
      </c>
      <c r="AJ12" s="279">
        <f t="shared" si="14"/>
        <v>85.8</v>
      </c>
      <c r="AK12" s="288">
        <v>40</v>
      </c>
      <c r="AL12" s="292">
        <f t="shared" ref="AL12:AL45" si="22">AK12/Z12*100</f>
        <v>0.79365079365079361</v>
      </c>
      <c r="AM12" s="288">
        <v>51</v>
      </c>
      <c r="AN12" s="293">
        <v>21</v>
      </c>
      <c r="AO12" s="287">
        <v>4625</v>
      </c>
      <c r="AP12" s="279">
        <f t="shared" si="15"/>
        <v>91.8</v>
      </c>
      <c r="AQ12" s="287">
        <v>4623</v>
      </c>
      <c r="AR12" s="279">
        <f t="shared" si="16"/>
        <v>91.7</v>
      </c>
      <c r="AS12" s="741">
        <v>5139</v>
      </c>
      <c r="AT12" s="294">
        <v>4510</v>
      </c>
      <c r="AU12" s="279">
        <f t="shared" si="17"/>
        <v>87.8</v>
      </c>
      <c r="AV12" s="286">
        <v>4512</v>
      </c>
      <c r="AW12" s="279">
        <f t="shared" si="18"/>
        <v>87.8</v>
      </c>
      <c r="AX12" s="287">
        <v>4498</v>
      </c>
      <c r="AY12" s="2011">
        <f t="shared" si="19"/>
        <v>87.5</v>
      </c>
      <c r="AZ12" s="2022">
        <v>35744</v>
      </c>
      <c r="BA12" s="2023">
        <v>7622</v>
      </c>
      <c r="BB12" s="2014">
        <f t="shared" si="20"/>
        <v>21.323858549686662</v>
      </c>
    </row>
    <row r="13" spans="1:54" ht="17.100000000000001" customHeight="1" x14ac:dyDescent="0.2">
      <c r="A13" s="631" t="s">
        <v>142</v>
      </c>
      <c r="B13" s="295" t="s">
        <v>14</v>
      </c>
      <c r="C13" s="739">
        <v>22653</v>
      </c>
      <c r="D13" s="286">
        <v>17628</v>
      </c>
      <c r="E13" s="279">
        <f t="shared" si="0"/>
        <v>77.8</v>
      </c>
      <c r="F13" s="287">
        <v>17383</v>
      </c>
      <c r="G13" s="279">
        <f t="shared" si="1"/>
        <v>76.7</v>
      </c>
      <c r="H13" s="288">
        <v>17413</v>
      </c>
      <c r="I13" s="279">
        <f t="shared" si="2"/>
        <v>76.900000000000006</v>
      </c>
      <c r="J13" s="288">
        <v>17731</v>
      </c>
      <c r="K13" s="279">
        <f t="shared" si="3"/>
        <v>78.3</v>
      </c>
      <c r="L13" s="286">
        <v>13684</v>
      </c>
      <c r="M13" s="279">
        <f t="shared" si="4"/>
        <v>60.4</v>
      </c>
      <c r="N13" s="289">
        <v>12604</v>
      </c>
      <c r="O13" s="279">
        <f t="shared" si="5"/>
        <v>55.6</v>
      </c>
      <c r="P13" s="287">
        <v>17583</v>
      </c>
      <c r="Q13" s="279">
        <f t="shared" si="6"/>
        <v>77.599999999999994</v>
      </c>
      <c r="R13" s="287">
        <v>17569</v>
      </c>
      <c r="S13" s="279">
        <f t="shared" si="7"/>
        <v>77.599999999999994</v>
      </c>
      <c r="T13" s="286">
        <v>16288</v>
      </c>
      <c r="U13" s="279">
        <f t="shared" si="21"/>
        <v>71.900000000000006</v>
      </c>
      <c r="V13" s="288">
        <v>16300</v>
      </c>
      <c r="W13" s="279">
        <f t="shared" si="8"/>
        <v>72</v>
      </c>
      <c r="X13" s="290">
        <v>5852</v>
      </c>
      <c r="Y13" s="279">
        <f t="shared" si="9"/>
        <v>25.833222972674701</v>
      </c>
      <c r="Z13" s="740">
        <v>22798</v>
      </c>
      <c r="AA13" s="291">
        <v>17939</v>
      </c>
      <c r="AB13" s="279">
        <f t="shared" si="10"/>
        <v>78.7</v>
      </c>
      <c r="AC13" s="286">
        <v>17339</v>
      </c>
      <c r="AD13" s="279">
        <f t="shared" si="11"/>
        <v>76.099999999999994</v>
      </c>
      <c r="AE13" s="287">
        <v>17485</v>
      </c>
      <c r="AF13" s="279">
        <f t="shared" si="12"/>
        <v>77.2</v>
      </c>
      <c r="AG13" s="288">
        <v>17622</v>
      </c>
      <c r="AH13" s="279">
        <f t="shared" si="13"/>
        <v>77.8</v>
      </c>
      <c r="AI13" s="288">
        <v>17717</v>
      </c>
      <c r="AJ13" s="279">
        <f t="shared" si="14"/>
        <v>77.7</v>
      </c>
      <c r="AK13" s="288">
        <v>332</v>
      </c>
      <c r="AL13" s="292">
        <f t="shared" si="22"/>
        <v>1.456268093692429</v>
      </c>
      <c r="AM13" s="288">
        <v>601</v>
      </c>
      <c r="AN13" s="293">
        <v>915</v>
      </c>
      <c r="AO13" s="287">
        <v>17234</v>
      </c>
      <c r="AP13" s="279">
        <f t="shared" si="15"/>
        <v>75.599999999999994</v>
      </c>
      <c r="AQ13" s="287">
        <v>16969</v>
      </c>
      <c r="AR13" s="279">
        <f t="shared" si="16"/>
        <v>74.400000000000006</v>
      </c>
      <c r="AS13" s="741">
        <v>23140</v>
      </c>
      <c r="AT13" s="294">
        <v>17789</v>
      </c>
      <c r="AU13" s="279">
        <f t="shared" si="17"/>
        <v>76.900000000000006</v>
      </c>
      <c r="AV13" s="286">
        <v>17617</v>
      </c>
      <c r="AW13" s="279">
        <f t="shared" si="18"/>
        <v>76.099999999999994</v>
      </c>
      <c r="AX13" s="287">
        <v>17320</v>
      </c>
      <c r="AY13" s="2011">
        <f t="shared" si="19"/>
        <v>74.8</v>
      </c>
      <c r="AZ13" s="2022">
        <v>204244</v>
      </c>
      <c r="BA13" s="2023">
        <v>21465</v>
      </c>
      <c r="BB13" s="2014">
        <f t="shared" si="20"/>
        <v>10.5094886508294</v>
      </c>
    </row>
    <row r="14" spans="1:54" ht="17.100000000000001" customHeight="1" x14ac:dyDescent="0.2">
      <c r="A14" s="632" t="s">
        <v>245</v>
      </c>
      <c r="B14" s="296" t="s">
        <v>115</v>
      </c>
      <c r="C14" s="739">
        <v>19744</v>
      </c>
      <c r="D14" s="286">
        <v>19348</v>
      </c>
      <c r="E14" s="279">
        <f t="shared" si="0"/>
        <v>98</v>
      </c>
      <c r="F14" s="287">
        <v>20574</v>
      </c>
      <c r="G14" s="279">
        <f t="shared" si="1"/>
        <v>104.2</v>
      </c>
      <c r="H14" s="286">
        <v>19453</v>
      </c>
      <c r="I14" s="279">
        <f t="shared" si="2"/>
        <v>98.5</v>
      </c>
      <c r="J14" s="286">
        <v>19552</v>
      </c>
      <c r="K14" s="279">
        <f t="shared" si="3"/>
        <v>99</v>
      </c>
      <c r="L14" s="286">
        <v>25093</v>
      </c>
      <c r="M14" s="279">
        <f t="shared" si="4"/>
        <v>127.1</v>
      </c>
      <c r="N14" s="289">
        <v>22937</v>
      </c>
      <c r="O14" s="279">
        <f t="shared" si="5"/>
        <v>116.2</v>
      </c>
      <c r="P14" s="287">
        <v>19584</v>
      </c>
      <c r="Q14" s="279">
        <f t="shared" si="6"/>
        <v>99.2</v>
      </c>
      <c r="R14" s="287">
        <v>19552</v>
      </c>
      <c r="S14" s="279">
        <f t="shared" si="7"/>
        <v>99</v>
      </c>
      <c r="T14" s="286">
        <v>19896</v>
      </c>
      <c r="U14" s="279">
        <f t="shared" si="21"/>
        <v>100.8</v>
      </c>
      <c r="V14" s="286">
        <v>18998</v>
      </c>
      <c r="W14" s="279">
        <f t="shared" si="8"/>
        <v>96.2</v>
      </c>
      <c r="X14" s="290">
        <v>6112</v>
      </c>
      <c r="Y14" s="279">
        <f t="shared" si="9"/>
        <v>30.956239870340358</v>
      </c>
      <c r="Z14" s="740">
        <v>19885</v>
      </c>
      <c r="AA14" s="291">
        <v>19579</v>
      </c>
      <c r="AB14" s="279">
        <f t="shared" si="10"/>
        <v>98.5</v>
      </c>
      <c r="AC14" s="286">
        <v>19356</v>
      </c>
      <c r="AD14" s="279">
        <f t="shared" si="11"/>
        <v>97.3</v>
      </c>
      <c r="AE14" s="287">
        <v>20534</v>
      </c>
      <c r="AF14" s="279">
        <f t="shared" si="12"/>
        <v>104</v>
      </c>
      <c r="AG14" s="288">
        <v>19829</v>
      </c>
      <c r="AH14" s="279">
        <f t="shared" si="13"/>
        <v>100.4</v>
      </c>
      <c r="AI14" s="288">
        <v>16318</v>
      </c>
      <c r="AJ14" s="279">
        <f t="shared" si="14"/>
        <v>82.1</v>
      </c>
      <c r="AK14" s="288">
        <v>569</v>
      </c>
      <c r="AL14" s="292">
        <f t="shared" si="22"/>
        <v>2.8614533568016092</v>
      </c>
      <c r="AM14" s="288">
        <v>293</v>
      </c>
      <c r="AN14" s="293">
        <v>460</v>
      </c>
      <c r="AO14" s="287">
        <v>17959</v>
      </c>
      <c r="AP14" s="279">
        <f t="shared" si="15"/>
        <v>90.3</v>
      </c>
      <c r="AQ14" s="287">
        <v>18287</v>
      </c>
      <c r="AR14" s="279">
        <f t="shared" si="16"/>
        <v>92</v>
      </c>
      <c r="AS14" s="741">
        <v>20366</v>
      </c>
      <c r="AT14" s="294">
        <v>17143</v>
      </c>
      <c r="AU14" s="279">
        <f t="shared" si="17"/>
        <v>84.2</v>
      </c>
      <c r="AV14" s="286">
        <v>17379</v>
      </c>
      <c r="AW14" s="279">
        <f t="shared" si="18"/>
        <v>85.3</v>
      </c>
      <c r="AX14" s="287">
        <v>15992</v>
      </c>
      <c r="AY14" s="2011">
        <f t="shared" si="19"/>
        <v>78.5</v>
      </c>
      <c r="AZ14" s="2022">
        <v>250561</v>
      </c>
      <c r="BA14" s="2023">
        <v>37594</v>
      </c>
      <c r="BB14" s="2014">
        <f t="shared" si="20"/>
        <v>15.00393117843559</v>
      </c>
    </row>
    <row r="15" spans="1:54" ht="17.100000000000001" customHeight="1" x14ac:dyDescent="0.2">
      <c r="A15" s="631" t="s">
        <v>303</v>
      </c>
      <c r="B15" s="295" t="s">
        <v>116</v>
      </c>
      <c r="C15" s="739">
        <v>113195</v>
      </c>
      <c r="D15" s="286">
        <v>104041</v>
      </c>
      <c r="E15" s="279">
        <f t="shared" si="0"/>
        <v>91.9</v>
      </c>
      <c r="F15" s="287">
        <v>106989</v>
      </c>
      <c r="G15" s="279">
        <f t="shared" si="1"/>
        <v>94.5</v>
      </c>
      <c r="H15" s="288">
        <v>106588</v>
      </c>
      <c r="I15" s="279">
        <f t="shared" si="2"/>
        <v>94.2</v>
      </c>
      <c r="J15" s="288">
        <v>106183</v>
      </c>
      <c r="K15" s="279">
        <f t="shared" si="3"/>
        <v>93.8</v>
      </c>
      <c r="L15" s="286">
        <v>115554</v>
      </c>
      <c r="M15" s="279">
        <f t="shared" si="4"/>
        <v>102.1</v>
      </c>
      <c r="N15" s="289">
        <v>116510</v>
      </c>
      <c r="O15" s="279">
        <f t="shared" si="5"/>
        <v>102.9</v>
      </c>
      <c r="P15" s="287">
        <v>107368</v>
      </c>
      <c r="Q15" s="279">
        <f t="shared" si="6"/>
        <v>94.9</v>
      </c>
      <c r="R15" s="287">
        <v>106183</v>
      </c>
      <c r="S15" s="279">
        <f t="shared" si="7"/>
        <v>93.8</v>
      </c>
      <c r="T15" s="286">
        <v>104180</v>
      </c>
      <c r="U15" s="279">
        <f t="shared" si="21"/>
        <v>92</v>
      </c>
      <c r="V15" s="288">
        <v>103164</v>
      </c>
      <c r="W15" s="279">
        <f t="shared" si="8"/>
        <v>91.1</v>
      </c>
      <c r="X15" s="290">
        <v>32715</v>
      </c>
      <c r="Y15" s="279">
        <f t="shared" si="9"/>
        <v>28.901453244401253</v>
      </c>
      <c r="Z15" s="740">
        <v>112308</v>
      </c>
      <c r="AA15" s="291">
        <v>106812</v>
      </c>
      <c r="AB15" s="279">
        <f t="shared" si="10"/>
        <v>95.1</v>
      </c>
      <c r="AC15" s="286">
        <v>99391</v>
      </c>
      <c r="AD15" s="279">
        <f t="shared" si="11"/>
        <v>88.5</v>
      </c>
      <c r="AE15" s="287">
        <v>105165</v>
      </c>
      <c r="AF15" s="279">
        <f t="shared" si="12"/>
        <v>92.9</v>
      </c>
      <c r="AG15" s="288">
        <v>104989</v>
      </c>
      <c r="AH15" s="279">
        <f t="shared" si="13"/>
        <v>92.8</v>
      </c>
      <c r="AI15" s="288">
        <v>107546</v>
      </c>
      <c r="AJ15" s="279">
        <f t="shared" si="14"/>
        <v>95.8</v>
      </c>
      <c r="AK15" s="288">
        <v>695</v>
      </c>
      <c r="AL15" s="292">
        <f t="shared" si="22"/>
        <v>0.6188339210029562</v>
      </c>
      <c r="AM15" s="288">
        <v>768</v>
      </c>
      <c r="AN15" s="293">
        <v>862</v>
      </c>
      <c r="AO15" s="287">
        <v>92875</v>
      </c>
      <c r="AP15" s="279">
        <f t="shared" si="15"/>
        <v>82.7</v>
      </c>
      <c r="AQ15" s="287">
        <v>89032</v>
      </c>
      <c r="AR15" s="279">
        <f t="shared" si="16"/>
        <v>79.3</v>
      </c>
      <c r="AS15" s="741">
        <v>110444</v>
      </c>
      <c r="AT15" s="294">
        <v>103048</v>
      </c>
      <c r="AU15" s="279">
        <f t="shared" si="17"/>
        <v>93.3</v>
      </c>
      <c r="AV15" s="286">
        <v>106173</v>
      </c>
      <c r="AW15" s="279">
        <f t="shared" si="18"/>
        <v>96.1</v>
      </c>
      <c r="AX15" s="287">
        <v>104959</v>
      </c>
      <c r="AY15" s="2011">
        <f t="shared" si="19"/>
        <v>95</v>
      </c>
      <c r="AZ15" s="2022">
        <v>1582140</v>
      </c>
      <c r="BA15" s="2023">
        <v>330694</v>
      </c>
      <c r="BB15" s="2014">
        <f t="shared" si="20"/>
        <v>20.901690115918946</v>
      </c>
    </row>
    <row r="16" spans="1:54" ht="17.100000000000001" customHeight="1" x14ac:dyDescent="0.2">
      <c r="A16" s="631" t="s">
        <v>256</v>
      </c>
      <c r="B16" s="295" t="s">
        <v>62</v>
      </c>
      <c r="C16" s="739">
        <v>25071</v>
      </c>
      <c r="D16" s="286">
        <v>21708</v>
      </c>
      <c r="E16" s="279">
        <f t="shared" si="0"/>
        <v>86.6</v>
      </c>
      <c r="F16" s="287">
        <v>20288</v>
      </c>
      <c r="G16" s="279">
        <f t="shared" si="1"/>
        <v>80.900000000000006</v>
      </c>
      <c r="H16" s="288">
        <v>19979</v>
      </c>
      <c r="I16" s="279">
        <f t="shared" si="2"/>
        <v>79.7</v>
      </c>
      <c r="J16" s="288">
        <v>21644</v>
      </c>
      <c r="K16" s="279">
        <f t="shared" si="3"/>
        <v>86.3</v>
      </c>
      <c r="L16" s="286">
        <v>15113</v>
      </c>
      <c r="M16" s="279">
        <f t="shared" si="4"/>
        <v>60.3</v>
      </c>
      <c r="N16" s="289">
        <v>12334</v>
      </c>
      <c r="O16" s="279">
        <f t="shared" si="5"/>
        <v>49.2</v>
      </c>
      <c r="P16" s="287">
        <v>21771</v>
      </c>
      <c r="Q16" s="279">
        <f t="shared" si="6"/>
        <v>86.8</v>
      </c>
      <c r="R16" s="287">
        <v>21599</v>
      </c>
      <c r="S16" s="279">
        <f t="shared" si="7"/>
        <v>86.2</v>
      </c>
      <c r="T16" s="286">
        <v>19813</v>
      </c>
      <c r="U16" s="279">
        <f t="shared" si="21"/>
        <v>79</v>
      </c>
      <c r="V16" s="288">
        <v>19440</v>
      </c>
      <c r="W16" s="279">
        <f t="shared" si="8"/>
        <v>77.5</v>
      </c>
      <c r="X16" s="290">
        <v>9032</v>
      </c>
      <c r="Y16" s="279">
        <f t="shared" si="9"/>
        <v>36.025687048781464</v>
      </c>
      <c r="Z16" s="740">
        <v>24678</v>
      </c>
      <c r="AA16" s="291">
        <v>21555</v>
      </c>
      <c r="AB16" s="279">
        <f t="shared" si="10"/>
        <v>87.3</v>
      </c>
      <c r="AC16" s="286">
        <v>20698</v>
      </c>
      <c r="AD16" s="279">
        <f t="shared" si="11"/>
        <v>83.9</v>
      </c>
      <c r="AE16" s="287">
        <v>20041</v>
      </c>
      <c r="AF16" s="279">
        <f t="shared" si="12"/>
        <v>79.900000000000006</v>
      </c>
      <c r="AG16" s="288">
        <v>20096</v>
      </c>
      <c r="AH16" s="279">
        <f t="shared" si="13"/>
        <v>80.2</v>
      </c>
      <c r="AI16" s="288">
        <v>19202</v>
      </c>
      <c r="AJ16" s="279">
        <f t="shared" si="14"/>
        <v>77.8</v>
      </c>
      <c r="AK16" s="288">
        <v>305</v>
      </c>
      <c r="AL16" s="292">
        <f t="shared" si="22"/>
        <v>1.2359186319799011</v>
      </c>
      <c r="AM16" s="288">
        <v>258</v>
      </c>
      <c r="AN16" s="293">
        <v>176</v>
      </c>
      <c r="AO16" s="287">
        <v>19655</v>
      </c>
      <c r="AP16" s="279">
        <f t="shared" si="15"/>
        <v>79.599999999999994</v>
      </c>
      <c r="AQ16" s="287">
        <v>19445</v>
      </c>
      <c r="AR16" s="279">
        <f t="shared" si="16"/>
        <v>78.8</v>
      </c>
      <c r="AS16" s="741">
        <v>23488</v>
      </c>
      <c r="AT16" s="294">
        <v>19775</v>
      </c>
      <c r="AU16" s="279">
        <f t="shared" si="17"/>
        <v>84.2</v>
      </c>
      <c r="AV16" s="286">
        <v>19703</v>
      </c>
      <c r="AW16" s="279">
        <f t="shared" si="18"/>
        <v>83.9</v>
      </c>
      <c r="AX16" s="287">
        <v>18628</v>
      </c>
      <c r="AY16" s="2011">
        <f t="shared" si="19"/>
        <v>79.3</v>
      </c>
      <c r="AZ16" s="2022">
        <v>179480</v>
      </c>
      <c r="BA16" s="2023">
        <v>54688</v>
      </c>
      <c r="BB16" s="2014">
        <f t="shared" si="20"/>
        <v>30.470247381323823</v>
      </c>
    </row>
    <row r="17" spans="1:54" ht="17.100000000000001" customHeight="1" x14ac:dyDescent="0.2">
      <c r="A17" s="632" t="s">
        <v>257</v>
      </c>
      <c r="B17" s="296" t="s">
        <v>45</v>
      </c>
      <c r="C17" s="739">
        <v>16707</v>
      </c>
      <c r="D17" s="286">
        <v>18155</v>
      </c>
      <c r="E17" s="279">
        <f t="shared" si="0"/>
        <v>108.7</v>
      </c>
      <c r="F17" s="287">
        <v>18683</v>
      </c>
      <c r="G17" s="279">
        <f t="shared" si="1"/>
        <v>111.8</v>
      </c>
      <c r="H17" s="288">
        <v>18405</v>
      </c>
      <c r="I17" s="279">
        <f t="shared" si="2"/>
        <v>110.2</v>
      </c>
      <c r="J17" s="288">
        <v>18281</v>
      </c>
      <c r="K17" s="279">
        <f t="shared" si="3"/>
        <v>109.4</v>
      </c>
      <c r="L17" s="286">
        <v>23240</v>
      </c>
      <c r="M17" s="279">
        <f t="shared" si="4"/>
        <v>139.1</v>
      </c>
      <c r="N17" s="289">
        <v>23255</v>
      </c>
      <c r="O17" s="279">
        <f t="shared" si="5"/>
        <v>139.19999999999999</v>
      </c>
      <c r="P17" s="287">
        <v>18249</v>
      </c>
      <c r="Q17" s="279">
        <f t="shared" si="6"/>
        <v>109.2</v>
      </c>
      <c r="R17" s="287">
        <v>18206</v>
      </c>
      <c r="S17" s="279">
        <f t="shared" si="7"/>
        <v>109</v>
      </c>
      <c r="T17" s="286">
        <v>18245</v>
      </c>
      <c r="U17" s="279">
        <f t="shared" si="21"/>
        <v>109.2</v>
      </c>
      <c r="V17" s="288">
        <v>17635</v>
      </c>
      <c r="W17" s="279">
        <f t="shared" si="8"/>
        <v>105.6</v>
      </c>
      <c r="X17" s="290">
        <v>7170</v>
      </c>
      <c r="Y17" s="279">
        <f t="shared" si="9"/>
        <v>42.916142934099476</v>
      </c>
      <c r="Z17" s="740">
        <v>16784</v>
      </c>
      <c r="AA17" s="291">
        <v>18817</v>
      </c>
      <c r="AB17" s="279">
        <f t="shared" si="10"/>
        <v>112.1</v>
      </c>
      <c r="AC17" s="286">
        <v>18651</v>
      </c>
      <c r="AD17" s="279">
        <f t="shared" si="11"/>
        <v>111.1</v>
      </c>
      <c r="AE17" s="287">
        <v>19850</v>
      </c>
      <c r="AF17" s="279">
        <f t="shared" si="12"/>
        <v>118.8</v>
      </c>
      <c r="AG17" s="288">
        <v>20032</v>
      </c>
      <c r="AH17" s="279">
        <f t="shared" si="13"/>
        <v>119.9</v>
      </c>
      <c r="AI17" s="288">
        <v>16551</v>
      </c>
      <c r="AJ17" s="279">
        <f t="shared" si="14"/>
        <v>98.6</v>
      </c>
      <c r="AK17" s="288">
        <v>340</v>
      </c>
      <c r="AL17" s="292">
        <f t="shared" si="22"/>
        <v>2.0257387988560533</v>
      </c>
      <c r="AM17" s="288">
        <v>475</v>
      </c>
      <c r="AN17" s="293">
        <v>92</v>
      </c>
      <c r="AO17" s="287">
        <v>17718</v>
      </c>
      <c r="AP17" s="279">
        <f t="shared" si="15"/>
        <v>105.6</v>
      </c>
      <c r="AQ17" s="287">
        <v>18064</v>
      </c>
      <c r="AR17" s="279">
        <f t="shared" si="16"/>
        <v>107.6</v>
      </c>
      <c r="AS17" s="741">
        <v>17153</v>
      </c>
      <c r="AT17" s="294">
        <v>16357</v>
      </c>
      <c r="AU17" s="279">
        <f>ROUND(AT17/$AS17*100,1)</f>
        <v>95.4</v>
      </c>
      <c r="AV17" s="286">
        <v>17384</v>
      </c>
      <c r="AW17" s="279">
        <f>ROUND(AV17/$AS17*100,1)</f>
        <v>101.3</v>
      </c>
      <c r="AX17" s="287">
        <v>16254</v>
      </c>
      <c r="AY17" s="2011">
        <f>ROUND(AX17/$AS17*100,1)</f>
        <v>94.8</v>
      </c>
      <c r="AZ17" s="2022">
        <v>188160</v>
      </c>
      <c r="BA17" s="2023">
        <v>30660</v>
      </c>
      <c r="BB17" s="2014">
        <f t="shared" si="20"/>
        <v>16.294642857142858</v>
      </c>
    </row>
    <row r="18" spans="1:54" ht="17.100000000000001" customHeight="1" x14ac:dyDescent="0.2">
      <c r="A18" s="636" t="s">
        <v>258</v>
      </c>
      <c r="B18" s="297" t="s">
        <v>118</v>
      </c>
      <c r="C18" s="739">
        <v>18962</v>
      </c>
      <c r="D18" s="286">
        <v>17574</v>
      </c>
      <c r="E18" s="279">
        <f t="shared" si="0"/>
        <v>92.7</v>
      </c>
      <c r="F18" s="287">
        <v>17702</v>
      </c>
      <c r="G18" s="279">
        <f t="shared" si="1"/>
        <v>93.4</v>
      </c>
      <c r="H18" s="286">
        <v>17492</v>
      </c>
      <c r="I18" s="279">
        <f t="shared" si="2"/>
        <v>92.2</v>
      </c>
      <c r="J18" s="286">
        <v>17578</v>
      </c>
      <c r="K18" s="279">
        <f t="shared" si="3"/>
        <v>92.7</v>
      </c>
      <c r="L18" s="286">
        <v>17681</v>
      </c>
      <c r="M18" s="279">
        <f t="shared" si="4"/>
        <v>93.2</v>
      </c>
      <c r="N18" s="289">
        <v>17103</v>
      </c>
      <c r="O18" s="279">
        <f t="shared" si="5"/>
        <v>90.2</v>
      </c>
      <c r="P18" s="287">
        <v>17581</v>
      </c>
      <c r="Q18" s="279">
        <f t="shared" si="6"/>
        <v>92.7</v>
      </c>
      <c r="R18" s="287">
        <v>17581</v>
      </c>
      <c r="S18" s="279">
        <f t="shared" si="7"/>
        <v>92.7</v>
      </c>
      <c r="T18" s="286">
        <v>17561</v>
      </c>
      <c r="U18" s="279">
        <f t="shared" si="21"/>
        <v>92.6</v>
      </c>
      <c r="V18" s="286">
        <v>17225</v>
      </c>
      <c r="W18" s="279">
        <f t="shared" si="8"/>
        <v>90.8</v>
      </c>
      <c r="X18" s="290">
        <v>6701</v>
      </c>
      <c r="Y18" s="279">
        <f t="shared" si="9"/>
        <v>35.339099251133845</v>
      </c>
      <c r="Z18" s="740">
        <v>19390</v>
      </c>
      <c r="AA18" s="291">
        <v>18192</v>
      </c>
      <c r="AB18" s="279">
        <f t="shared" si="10"/>
        <v>93.8</v>
      </c>
      <c r="AC18" s="286">
        <v>18252</v>
      </c>
      <c r="AD18" s="279">
        <f t="shared" si="11"/>
        <v>94.1</v>
      </c>
      <c r="AE18" s="287">
        <v>17712</v>
      </c>
      <c r="AF18" s="279">
        <f t="shared" si="12"/>
        <v>93.4</v>
      </c>
      <c r="AG18" s="288">
        <v>17536</v>
      </c>
      <c r="AH18" s="279">
        <f t="shared" si="13"/>
        <v>92.5</v>
      </c>
      <c r="AI18" s="288">
        <v>17575</v>
      </c>
      <c r="AJ18" s="279">
        <f t="shared" si="14"/>
        <v>90.6</v>
      </c>
      <c r="AK18" s="288">
        <v>11150</v>
      </c>
      <c r="AL18" s="292">
        <f t="shared" si="22"/>
        <v>57.503867973182054</v>
      </c>
      <c r="AM18" s="288">
        <v>117</v>
      </c>
      <c r="AN18" s="293">
        <v>128</v>
      </c>
      <c r="AO18" s="287">
        <v>17948</v>
      </c>
      <c r="AP18" s="279">
        <f t="shared" si="15"/>
        <v>92.6</v>
      </c>
      <c r="AQ18" s="287">
        <v>18012</v>
      </c>
      <c r="AR18" s="279">
        <f t="shared" si="16"/>
        <v>92.9</v>
      </c>
      <c r="AS18" s="741">
        <v>20810</v>
      </c>
      <c r="AT18" s="294">
        <v>19804</v>
      </c>
      <c r="AU18" s="279">
        <f t="shared" si="17"/>
        <v>95.2</v>
      </c>
      <c r="AV18" s="286">
        <v>19909</v>
      </c>
      <c r="AW18" s="279">
        <f t="shared" si="18"/>
        <v>95.7</v>
      </c>
      <c r="AX18" s="287">
        <v>19905</v>
      </c>
      <c r="AY18" s="2011">
        <f t="shared" si="19"/>
        <v>95.7</v>
      </c>
      <c r="AZ18" s="2022">
        <v>287110</v>
      </c>
      <c r="BA18" s="2023">
        <v>61299</v>
      </c>
      <c r="BB18" s="2014">
        <f t="shared" si="20"/>
        <v>21.350353523039949</v>
      </c>
    </row>
    <row r="19" spans="1:54" ht="17.100000000000001" customHeight="1" x14ac:dyDescent="0.2">
      <c r="A19" s="636" t="s">
        <v>259</v>
      </c>
      <c r="B19" s="297" t="s">
        <v>19</v>
      </c>
      <c r="C19" s="739">
        <v>11821</v>
      </c>
      <c r="D19" s="286">
        <v>11291</v>
      </c>
      <c r="E19" s="279">
        <f t="shared" si="0"/>
        <v>95.5</v>
      </c>
      <c r="F19" s="287">
        <v>10961</v>
      </c>
      <c r="G19" s="279">
        <f t="shared" si="1"/>
        <v>92.7</v>
      </c>
      <c r="H19" s="288">
        <v>10945</v>
      </c>
      <c r="I19" s="279">
        <f t="shared" si="2"/>
        <v>92.6</v>
      </c>
      <c r="J19" s="288">
        <v>11291</v>
      </c>
      <c r="K19" s="279">
        <f t="shared" si="3"/>
        <v>95.5</v>
      </c>
      <c r="L19" s="286">
        <v>10126</v>
      </c>
      <c r="M19" s="279">
        <f t="shared" si="4"/>
        <v>85.7</v>
      </c>
      <c r="N19" s="289">
        <v>9493</v>
      </c>
      <c r="O19" s="279">
        <f t="shared" si="5"/>
        <v>80.3</v>
      </c>
      <c r="P19" s="287">
        <v>11286</v>
      </c>
      <c r="Q19" s="279">
        <f t="shared" si="6"/>
        <v>95.5</v>
      </c>
      <c r="R19" s="287">
        <v>11299</v>
      </c>
      <c r="S19" s="279">
        <f t="shared" si="7"/>
        <v>95.6</v>
      </c>
      <c r="T19" s="286">
        <v>10757</v>
      </c>
      <c r="U19" s="279">
        <f t="shared" si="21"/>
        <v>91</v>
      </c>
      <c r="V19" s="288">
        <v>10942</v>
      </c>
      <c r="W19" s="279">
        <f t="shared" si="8"/>
        <v>92.6</v>
      </c>
      <c r="X19" s="290">
        <v>5599</v>
      </c>
      <c r="Y19" s="279">
        <f t="shared" si="9"/>
        <v>47.364859148972165</v>
      </c>
      <c r="Z19" s="740">
        <v>11875</v>
      </c>
      <c r="AA19" s="291">
        <v>11091</v>
      </c>
      <c r="AB19" s="279">
        <f t="shared" si="10"/>
        <v>93.4</v>
      </c>
      <c r="AC19" s="286">
        <v>11189</v>
      </c>
      <c r="AD19" s="279">
        <f t="shared" si="11"/>
        <v>94.2</v>
      </c>
      <c r="AE19" s="287">
        <v>13949</v>
      </c>
      <c r="AF19" s="279">
        <f t="shared" si="12"/>
        <v>118</v>
      </c>
      <c r="AG19" s="288">
        <v>11521</v>
      </c>
      <c r="AH19" s="279">
        <f t="shared" si="13"/>
        <v>97.5</v>
      </c>
      <c r="AI19" s="288">
        <v>10301</v>
      </c>
      <c r="AJ19" s="279">
        <f t="shared" si="14"/>
        <v>86.7</v>
      </c>
      <c r="AK19" s="288">
        <v>622</v>
      </c>
      <c r="AL19" s="292">
        <f t="shared" si="22"/>
        <v>5.2378947368421054</v>
      </c>
      <c r="AM19" s="288">
        <v>322</v>
      </c>
      <c r="AN19" s="293">
        <v>712</v>
      </c>
      <c r="AO19" s="287">
        <v>10825</v>
      </c>
      <c r="AP19" s="279">
        <f t="shared" si="15"/>
        <v>91.2</v>
      </c>
      <c r="AQ19" s="287">
        <v>10969</v>
      </c>
      <c r="AR19" s="279">
        <f t="shared" si="16"/>
        <v>92.4</v>
      </c>
      <c r="AS19" s="741">
        <v>12792</v>
      </c>
      <c r="AT19" s="294">
        <v>13180</v>
      </c>
      <c r="AU19" s="279">
        <f t="shared" si="17"/>
        <v>103</v>
      </c>
      <c r="AV19" s="286">
        <v>13343</v>
      </c>
      <c r="AW19" s="279">
        <f t="shared" si="18"/>
        <v>104.3</v>
      </c>
      <c r="AX19" s="287">
        <v>12757</v>
      </c>
      <c r="AY19" s="2011">
        <f t="shared" si="19"/>
        <v>99.7</v>
      </c>
      <c r="AZ19" s="2022">
        <v>238336</v>
      </c>
      <c r="BA19" s="2023">
        <v>32450</v>
      </c>
      <c r="BB19" s="2014">
        <f t="shared" si="20"/>
        <v>13.615232277121375</v>
      </c>
    </row>
    <row r="20" spans="1:54" ht="17.100000000000001" customHeight="1" x14ac:dyDescent="0.2">
      <c r="A20" s="631" t="s">
        <v>260</v>
      </c>
      <c r="B20" s="295" t="s">
        <v>119</v>
      </c>
      <c r="C20" s="739">
        <v>10735</v>
      </c>
      <c r="D20" s="286">
        <v>8098</v>
      </c>
      <c r="E20" s="279">
        <f t="shared" si="0"/>
        <v>75.400000000000006</v>
      </c>
      <c r="F20" s="287">
        <v>8400</v>
      </c>
      <c r="G20" s="279">
        <f t="shared" si="1"/>
        <v>78.2</v>
      </c>
      <c r="H20" s="288">
        <v>7867</v>
      </c>
      <c r="I20" s="279">
        <f t="shared" si="2"/>
        <v>73.3</v>
      </c>
      <c r="J20" s="288">
        <v>8177</v>
      </c>
      <c r="K20" s="279">
        <f t="shared" si="3"/>
        <v>76.2</v>
      </c>
      <c r="L20" s="286">
        <v>8846</v>
      </c>
      <c r="M20" s="279">
        <f t="shared" si="4"/>
        <v>82.4</v>
      </c>
      <c r="N20" s="289">
        <v>8041</v>
      </c>
      <c r="O20" s="279">
        <f t="shared" si="5"/>
        <v>74.900000000000006</v>
      </c>
      <c r="P20" s="287">
        <v>8182</v>
      </c>
      <c r="Q20" s="279">
        <f t="shared" si="6"/>
        <v>76.2</v>
      </c>
      <c r="R20" s="287">
        <v>8177</v>
      </c>
      <c r="S20" s="279">
        <f t="shared" si="7"/>
        <v>76.2</v>
      </c>
      <c r="T20" s="286">
        <v>7981</v>
      </c>
      <c r="U20" s="279">
        <f t="shared" si="21"/>
        <v>74.3</v>
      </c>
      <c r="V20" s="288">
        <v>7621</v>
      </c>
      <c r="W20" s="279">
        <f t="shared" si="8"/>
        <v>71</v>
      </c>
      <c r="X20" s="290">
        <v>3051</v>
      </c>
      <c r="Y20" s="279">
        <f t="shared" si="9"/>
        <v>28.421052631578945</v>
      </c>
      <c r="Z20" s="740">
        <v>10736</v>
      </c>
      <c r="AA20" s="291">
        <v>8494</v>
      </c>
      <c r="AB20" s="279">
        <f t="shared" si="10"/>
        <v>79.099999999999994</v>
      </c>
      <c r="AC20" s="286">
        <v>8423</v>
      </c>
      <c r="AD20" s="279">
        <f t="shared" si="11"/>
        <v>78.5</v>
      </c>
      <c r="AE20" s="287">
        <v>23062</v>
      </c>
      <c r="AF20" s="279">
        <f t="shared" si="12"/>
        <v>214.8</v>
      </c>
      <c r="AG20" s="288">
        <v>7996</v>
      </c>
      <c r="AH20" s="279">
        <f t="shared" si="13"/>
        <v>74.5</v>
      </c>
      <c r="AI20" s="288">
        <v>7903</v>
      </c>
      <c r="AJ20" s="279">
        <f t="shared" si="14"/>
        <v>73.599999999999994</v>
      </c>
      <c r="AK20" s="288">
        <v>277</v>
      </c>
      <c r="AL20" s="292">
        <f t="shared" si="22"/>
        <v>2.5801043219076005</v>
      </c>
      <c r="AM20" s="288">
        <v>241</v>
      </c>
      <c r="AN20" s="293">
        <v>219</v>
      </c>
      <c r="AO20" s="287">
        <v>8538</v>
      </c>
      <c r="AP20" s="279">
        <f t="shared" si="15"/>
        <v>79.5</v>
      </c>
      <c r="AQ20" s="287">
        <v>8543</v>
      </c>
      <c r="AR20" s="279">
        <f t="shared" si="16"/>
        <v>79.599999999999994</v>
      </c>
      <c r="AS20" s="741">
        <v>10653</v>
      </c>
      <c r="AT20" s="294">
        <v>7812</v>
      </c>
      <c r="AU20" s="279">
        <f t="shared" si="17"/>
        <v>73.3</v>
      </c>
      <c r="AV20" s="286">
        <v>7830</v>
      </c>
      <c r="AW20" s="279">
        <f t="shared" si="18"/>
        <v>73.5</v>
      </c>
      <c r="AX20" s="287">
        <v>7505</v>
      </c>
      <c r="AY20" s="2011">
        <f t="shared" si="19"/>
        <v>70.400000000000006</v>
      </c>
      <c r="AZ20" s="2022">
        <v>68816</v>
      </c>
      <c r="BA20" s="2023">
        <v>15386</v>
      </c>
      <c r="BB20" s="2014">
        <f t="shared" si="20"/>
        <v>22.358172518019064</v>
      </c>
    </row>
    <row r="21" spans="1:54" ht="17.100000000000001" customHeight="1" x14ac:dyDescent="0.2">
      <c r="A21" s="636" t="s">
        <v>261</v>
      </c>
      <c r="B21" s="297" t="s">
        <v>21</v>
      </c>
      <c r="C21" s="739">
        <v>7528</v>
      </c>
      <c r="D21" s="286">
        <v>7349</v>
      </c>
      <c r="E21" s="279">
        <f t="shared" si="0"/>
        <v>97.6</v>
      </c>
      <c r="F21" s="287">
        <v>7525</v>
      </c>
      <c r="G21" s="279">
        <f t="shared" si="1"/>
        <v>100</v>
      </c>
      <c r="H21" s="288">
        <v>7611</v>
      </c>
      <c r="I21" s="279">
        <f t="shared" si="2"/>
        <v>101.1</v>
      </c>
      <c r="J21" s="288">
        <v>7344</v>
      </c>
      <c r="K21" s="279">
        <f t="shared" si="3"/>
        <v>97.6</v>
      </c>
      <c r="L21" s="286">
        <v>7414</v>
      </c>
      <c r="M21" s="279">
        <f t="shared" si="4"/>
        <v>98.5</v>
      </c>
      <c r="N21" s="289">
        <v>7227</v>
      </c>
      <c r="O21" s="279">
        <f t="shared" si="5"/>
        <v>96</v>
      </c>
      <c r="P21" s="287">
        <v>7352</v>
      </c>
      <c r="Q21" s="279">
        <f t="shared" si="6"/>
        <v>97.7</v>
      </c>
      <c r="R21" s="287">
        <v>7322</v>
      </c>
      <c r="S21" s="279">
        <f t="shared" si="7"/>
        <v>97.3</v>
      </c>
      <c r="T21" s="286">
        <v>7495</v>
      </c>
      <c r="U21" s="279">
        <f t="shared" si="21"/>
        <v>99.6</v>
      </c>
      <c r="V21" s="288">
        <v>7557</v>
      </c>
      <c r="W21" s="279">
        <f t="shared" si="8"/>
        <v>100.4</v>
      </c>
      <c r="X21" s="290">
        <v>2407</v>
      </c>
      <c r="Y21" s="279">
        <f t="shared" si="9"/>
        <v>31.97396386822529</v>
      </c>
      <c r="Z21" s="740">
        <v>7538</v>
      </c>
      <c r="AA21" s="291">
        <v>7493</v>
      </c>
      <c r="AB21" s="279">
        <f t="shared" si="10"/>
        <v>99.4</v>
      </c>
      <c r="AC21" s="286">
        <v>7510</v>
      </c>
      <c r="AD21" s="279">
        <f t="shared" si="11"/>
        <v>99.6</v>
      </c>
      <c r="AE21" s="287">
        <v>7524</v>
      </c>
      <c r="AF21" s="279">
        <f t="shared" si="12"/>
        <v>99.9</v>
      </c>
      <c r="AG21" s="288">
        <v>7606</v>
      </c>
      <c r="AH21" s="279">
        <f t="shared" si="13"/>
        <v>101</v>
      </c>
      <c r="AI21" s="288">
        <v>7420</v>
      </c>
      <c r="AJ21" s="279">
        <f t="shared" si="14"/>
        <v>98.4</v>
      </c>
      <c r="AK21" s="288">
        <v>9</v>
      </c>
      <c r="AL21" s="292">
        <f t="shared" si="22"/>
        <v>0.11939506500397983</v>
      </c>
      <c r="AM21" s="288">
        <v>33</v>
      </c>
      <c r="AN21" s="293">
        <v>1212</v>
      </c>
      <c r="AO21" s="287">
        <v>7240</v>
      </c>
      <c r="AP21" s="279">
        <f t="shared" si="15"/>
        <v>96</v>
      </c>
      <c r="AQ21" s="287">
        <v>7237</v>
      </c>
      <c r="AR21" s="279">
        <f t="shared" si="16"/>
        <v>96</v>
      </c>
      <c r="AS21" s="741">
        <v>7567</v>
      </c>
      <c r="AT21" s="294">
        <v>7409</v>
      </c>
      <c r="AU21" s="279">
        <f t="shared" si="17"/>
        <v>97.9</v>
      </c>
      <c r="AV21" s="286">
        <v>7410</v>
      </c>
      <c r="AW21" s="279">
        <f t="shared" si="18"/>
        <v>97.9</v>
      </c>
      <c r="AX21" s="287">
        <v>7396</v>
      </c>
      <c r="AY21" s="2011">
        <f t="shared" si="19"/>
        <v>97.7</v>
      </c>
      <c r="AZ21" s="2022">
        <v>48587</v>
      </c>
      <c r="BA21" s="2023">
        <v>9721</v>
      </c>
      <c r="BB21" s="2014">
        <f t="shared" si="20"/>
        <v>20.007409389342829</v>
      </c>
    </row>
    <row r="22" spans="1:54" ht="17.100000000000001" customHeight="1" x14ac:dyDescent="0.2">
      <c r="A22" s="631" t="s">
        <v>262</v>
      </c>
      <c r="B22" s="295" t="s">
        <v>18</v>
      </c>
      <c r="C22" s="739">
        <v>24583</v>
      </c>
      <c r="D22" s="286">
        <v>22275</v>
      </c>
      <c r="E22" s="279">
        <f t="shared" si="0"/>
        <v>90.6</v>
      </c>
      <c r="F22" s="287">
        <v>22230</v>
      </c>
      <c r="G22" s="279">
        <f t="shared" si="1"/>
        <v>90.4</v>
      </c>
      <c r="H22" s="288">
        <v>21835</v>
      </c>
      <c r="I22" s="279">
        <f t="shared" si="2"/>
        <v>88.8</v>
      </c>
      <c r="J22" s="288">
        <v>22277</v>
      </c>
      <c r="K22" s="279">
        <f t="shared" si="3"/>
        <v>90.6</v>
      </c>
      <c r="L22" s="286">
        <v>16921</v>
      </c>
      <c r="M22" s="279">
        <f t="shared" si="4"/>
        <v>68.8</v>
      </c>
      <c r="N22" s="289">
        <v>14638</v>
      </c>
      <c r="O22" s="279">
        <f t="shared" si="5"/>
        <v>59.5</v>
      </c>
      <c r="P22" s="287">
        <v>22306</v>
      </c>
      <c r="Q22" s="279">
        <f t="shared" si="6"/>
        <v>90.7</v>
      </c>
      <c r="R22" s="287">
        <v>22277</v>
      </c>
      <c r="S22" s="279">
        <f t="shared" si="7"/>
        <v>90.6</v>
      </c>
      <c r="T22" s="286">
        <v>21357</v>
      </c>
      <c r="U22" s="279">
        <f t="shared" si="21"/>
        <v>86.9</v>
      </c>
      <c r="V22" s="288">
        <v>20813</v>
      </c>
      <c r="W22" s="279">
        <f t="shared" si="8"/>
        <v>84.7</v>
      </c>
      <c r="X22" s="290">
        <v>9406</v>
      </c>
      <c r="Y22" s="279">
        <f t="shared" si="9"/>
        <v>38.262213724931868</v>
      </c>
      <c r="Z22" s="740">
        <v>24354</v>
      </c>
      <c r="AA22" s="291">
        <v>22607</v>
      </c>
      <c r="AB22" s="279">
        <f t="shared" si="10"/>
        <v>92.8</v>
      </c>
      <c r="AC22" s="286">
        <v>23320</v>
      </c>
      <c r="AD22" s="279">
        <f t="shared" si="11"/>
        <v>95.8</v>
      </c>
      <c r="AE22" s="287">
        <v>22143</v>
      </c>
      <c r="AF22" s="279">
        <f t="shared" si="12"/>
        <v>90.1</v>
      </c>
      <c r="AG22" s="288">
        <v>21693</v>
      </c>
      <c r="AH22" s="279">
        <f t="shared" si="13"/>
        <v>88.2</v>
      </c>
      <c r="AI22" s="288">
        <v>21241</v>
      </c>
      <c r="AJ22" s="279">
        <f t="shared" si="14"/>
        <v>87.2</v>
      </c>
      <c r="AK22" s="288">
        <v>409</v>
      </c>
      <c r="AL22" s="292">
        <f t="shared" si="22"/>
        <v>1.6793955818346065</v>
      </c>
      <c r="AM22" s="288">
        <v>333</v>
      </c>
      <c r="AN22" s="293">
        <v>396</v>
      </c>
      <c r="AO22" s="287">
        <v>21905</v>
      </c>
      <c r="AP22" s="279">
        <f t="shared" si="15"/>
        <v>89.9</v>
      </c>
      <c r="AQ22" s="287">
        <v>22019</v>
      </c>
      <c r="AR22" s="279">
        <f t="shared" si="16"/>
        <v>90.4</v>
      </c>
      <c r="AS22" s="741">
        <v>23821</v>
      </c>
      <c r="AT22" s="294">
        <v>21515</v>
      </c>
      <c r="AU22" s="279">
        <f t="shared" si="17"/>
        <v>90.3</v>
      </c>
      <c r="AV22" s="286">
        <v>21560</v>
      </c>
      <c r="AW22" s="279">
        <f t="shared" si="18"/>
        <v>90.5</v>
      </c>
      <c r="AX22" s="287">
        <v>21316</v>
      </c>
      <c r="AY22" s="2011">
        <f t="shared" si="19"/>
        <v>89.5</v>
      </c>
      <c r="AZ22" s="2022">
        <v>251068</v>
      </c>
      <c r="BA22" s="2023">
        <v>47460</v>
      </c>
      <c r="BB22" s="2014">
        <f t="shared" si="20"/>
        <v>18.903245335924929</v>
      </c>
    </row>
    <row r="23" spans="1:54" ht="17.100000000000001" customHeight="1" x14ac:dyDescent="0.2">
      <c r="A23" s="631" t="s">
        <v>263</v>
      </c>
      <c r="B23" s="295" t="s">
        <v>22</v>
      </c>
      <c r="C23" s="739">
        <v>22115</v>
      </c>
      <c r="D23" s="286">
        <v>23456</v>
      </c>
      <c r="E23" s="279">
        <f t="shared" si="0"/>
        <v>106.1</v>
      </c>
      <c r="F23" s="287">
        <v>23755</v>
      </c>
      <c r="G23" s="279">
        <f t="shared" si="1"/>
        <v>107.4</v>
      </c>
      <c r="H23" s="288">
        <v>23607</v>
      </c>
      <c r="I23" s="279">
        <f t="shared" si="2"/>
        <v>106.7</v>
      </c>
      <c r="J23" s="288">
        <v>24046</v>
      </c>
      <c r="K23" s="279">
        <f t="shared" si="3"/>
        <v>108.7</v>
      </c>
      <c r="L23" s="286">
        <v>25793</v>
      </c>
      <c r="M23" s="279">
        <f t="shared" si="4"/>
        <v>116.6</v>
      </c>
      <c r="N23" s="289">
        <v>24830</v>
      </c>
      <c r="O23" s="279">
        <f t="shared" si="5"/>
        <v>112.3</v>
      </c>
      <c r="P23" s="287">
        <v>24046</v>
      </c>
      <c r="Q23" s="279">
        <f t="shared" si="6"/>
        <v>108.7</v>
      </c>
      <c r="R23" s="287">
        <v>24046</v>
      </c>
      <c r="S23" s="279">
        <f t="shared" si="7"/>
        <v>108.7</v>
      </c>
      <c r="T23" s="286">
        <v>23279</v>
      </c>
      <c r="U23" s="279">
        <f t="shared" si="21"/>
        <v>105.3</v>
      </c>
      <c r="V23" s="288">
        <v>22716</v>
      </c>
      <c r="W23" s="279">
        <f t="shared" si="8"/>
        <v>102.7</v>
      </c>
      <c r="X23" s="290">
        <v>11498</v>
      </c>
      <c r="Y23" s="279">
        <f t="shared" si="9"/>
        <v>51.991860728012661</v>
      </c>
      <c r="Z23" s="740">
        <v>22097</v>
      </c>
      <c r="AA23" s="291">
        <v>24496</v>
      </c>
      <c r="AB23" s="279">
        <f t="shared" si="10"/>
        <v>110.9</v>
      </c>
      <c r="AC23" s="286">
        <v>24665</v>
      </c>
      <c r="AD23" s="279">
        <f t="shared" si="11"/>
        <v>111.6</v>
      </c>
      <c r="AE23" s="287">
        <v>23769</v>
      </c>
      <c r="AF23" s="279">
        <f t="shared" si="12"/>
        <v>107.5</v>
      </c>
      <c r="AG23" s="288">
        <v>23615</v>
      </c>
      <c r="AH23" s="279">
        <f t="shared" si="13"/>
        <v>106.8</v>
      </c>
      <c r="AI23" s="288">
        <v>24074</v>
      </c>
      <c r="AJ23" s="279">
        <f t="shared" si="14"/>
        <v>108.9</v>
      </c>
      <c r="AK23" s="288">
        <v>293</v>
      </c>
      <c r="AL23" s="292">
        <f t="shared" si="22"/>
        <v>1.3259718513825407</v>
      </c>
      <c r="AM23" s="288">
        <v>383</v>
      </c>
      <c r="AN23" s="293">
        <v>75</v>
      </c>
      <c r="AO23" s="287">
        <v>21767</v>
      </c>
      <c r="AP23" s="279">
        <f t="shared" si="15"/>
        <v>98.5</v>
      </c>
      <c r="AQ23" s="287">
        <v>21752</v>
      </c>
      <c r="AR23" s="279">
        <f t="shared" si="16"/>
        <v>98.4</v>
      </c>
      <c r="AS23" s="741">
        <v>21995</v>
      </c>
      <c r="AT23" s="294">
        <v>22036</v>
      </c>
      <c r="AU23" s="279">
        <f t="shared" si="17"/>
        <v>100.2</v>
      </c>
      <c r="AV23" s="286">
        <v>22031</v>
      </c>
      <c r="AW23" s="279">
        <f t="shared" si="18"/>
        <v>100.2</v>
      </c>
      <c r="AX23" s="287">
        <v>21879</v>
      </c>
      <c r="AY23" s="2011">
        <f t="shared" si="19"/>
        <v>99.5</v>
      </c>
      <c r="AZ23" s="2022">
        <v>153505</v>
      </c>
      <c r="BA23" s="2023">
        <v>36829</v>
      </c>
      <c r="BB23" s="2014">
        <f t="shared" si="20"/>
        <v>23.992052376144098</v>
      </c>
    </row>
    <row r="24" spans="1:54" ht="17.100000000000001" customHeight="1" x14ac:dyDescent="0.2">
      <c r="A24" s="631" t="s">
        <v>264</v>
      </c>
      <c r="B24" s="295" t="s">
        <v>120</v>
      </c>
      <c r="C24" s="739">
        <v>13467</v>
      </c>
      <c r="D24" s="286">
        <v>9722</v>
      </c>
      <c r="E24" s="279">
        <f t="shared" si="0"/>
        <v>72.2</v>
      </c>
      <c r="F24" s="287">
        <v>11640</v>
      </c>
      <c r="G24" s="279">
        <f t="shared" si="1"/>
        <v>86.4</v>
      </c>
      <c r="H24" s="288">
        <v>10215</v>
      </c>
      <c r="I24" s="279">
        <f t="shared" si="2"/>
        <v>75.900000000000006</v>
      </c>
      <c r="J24" s="288">
        <v>9722</v>
      </c>
      <c r="K24" s="279">
        <f t="shared" si="3"/>
        <v>72.2</v>
      </c>
      <c r="L24" s="286">
        <v>10902</v>
      </c>
      <c r="M24" s="279">
        <f t="shared" si="4"/>
        <v>81</v>
      </c>
      <c r="N24" s="289">
        <v>7850</v>
      </c>
      <c r="O24" s="279">
        <f t="shared" si="5"/>
        <v>58.3</v>
      </c>
      <c r="P24" s="287">
        <v>9724</v>
      </c>
      <c r="Q24" s="279">
        <f t="shared" si="6"/>
        <v>72.2</v>
      </c>
      <c r="R24" s="287">
        <v>9722</v>
      </c>
      <c r="S24" s="279">
        <f t="shared" si="7"/>
        <v>72.2</v>
      </c>
      <c r="T24" s="286">
        <v>9255</v>
      </c>
      <c r="U24" s="279">
        <f t="shared" si="21"/>
        <v>68.7</v>
      </c>
      <c r="V24" s="288">
        <v>7926</v>
      </c>
      <c r="W24" s="279">
        <f t="shared" si="8"/>
        <v>58.9</v>
      </c>
      <c r="X24" s="290">
        <v>3438</v>
      </c>
      <c r="Y24" s="279">
        <f t="shared" si="9"/>
        <v>25.52907106259746</v>
      </c>
      <c r="Z24" s="740">
        <v>13359</v>
      </c>
      <c r="AA24" s="291">
        <v>11521</v>
      </c>
      <c r="AB24" s="279">
        <f t="shared" si="10"/>
        <v>86.2</v>
      </c>
      <c r="AC24" s="286">
        <v>11344</v>
      </c>
      <c r="AD24" s="279">
        <f t="shared" si="11"/>
        <v>84.9</v>
      </c>
      <c r="AE24" s="287">
        <v>11616</v>
      </c>
      <c r="AF24" s="279">
        <f t="shared" si="12"/>
        <v>86.3</v>
      </c>
      <c r="AG24" s="288">
        <v>10363</v>
      </c>
      <c r="AH24" s="279">
        <f t="shared" si="13"/>
        <v>77</v>
      </c>
      <c r="AI24" s="288">
        <v>10035</v>
      </c>
      <c r="AJ24" s="279">
        <f t="shared" si="14"/>
        <v>75.099999999999994</v>
      </c>
      <c r="AK24" s="288">
        <v>583</v>
      </c>
      <c r="AL24" s="292">
        <f t="shared" si="22"/>
        <v>4.3640991092147612</v>
      </c>
      <c r="AM24" s="288">
        <v>1063</v>
      </c>
      <c r="AN24" s="293">
        <v>362</v>
      </c>
      <c r="AO24" s="287">
        <v>10257</v>
      </c>
      <c r="AP24" s="279">
        <f t="shared" si="15"/>
        <v>76.8</v>
      </c>
      <c r="AQ24" s="287">
        <v>10229</v>
      </c>
      <c r="AR24" s="279">
        <f t="shared" si="16"/>
        <v>76.599999999999994</v>
      </c>
      <c r="AS24" s="741">
        <v>12885</v>
      </c>
      <c r="AT24" s="294">
        <v>8797</v>
      </c>
      <c r="AU24" s="279">
        <f t="shared" si="17"/>
        <v>68.3</v>
      </c>
      <c r="AV24" s="286">
        <v>8783</v>
      </c>
      <c r="AW24" s="279">
        <f t="shared" si="18"/>
        <v>68.2</v>
      </c>
      <c r="AX24" s="287">
        <v>8734</v>
      </c>
      <c r="AY24" s="2011">
        <f t="shared" si="19"/>
        <v>67.8</v>
      </c>
      <c r="AZ24" s="2022">
        <v>62931</v>
      </c>
      <c r="BA24" s="2023">
        <v>13179</v>
      </c>
      <c r="BB24" s="2014">
        <f t="shared" si="20"/>
        <v>20.941984077799493</v>
      </c>
    </row>
    <row r="25" spans="1:54" ht="17.100000000000001" customHeight="1" x14ac:dyDescent="0.2">
      <c r="A25" s="631" t="s">
        <v>265</v>
      </c>
      <c r="B25" s="295" t="s">
        <v>121</v>
      </c>
      <c r="C25" s="739">
        <v>36315</v>
      </c>
      <c r="D25" s="286">
        <v>34635</v>
      </c>
      <c r="E25" s="279">
        <f t="shared" si="0"/>
        <v>95.4</v>
      </c>
      <c r="F25" s="287">
        <v>31054</v>
      </c>
      <c r="G25" s="279">
        <f t="shared" si="1"/>
        <v>85.5</v>
      </c>
      <c r="H25" s="288">
        <v>30547</v>
      </c>
      <c r="I25" s="279">
        <f t="shared" si="2"/>
        <v>84.1</v>
      </c>
      <c r="J25" s="288">
        <v>34629</v>
      </c>
      <c r="K25" s="279">
        <f t="shared" si="3"/>
        <v>95.4</v>
      </c>
      <c r="L25" s="286">
        <v>29383</v>
      </c>
      <c r="M25" s="279">
        <f t="shared" si="4"/>
        <v>80.900000000000006</v>
      </c>
      <c r="N25" s="289">
        <v>27638</v>
      </c>
      <c r="O25" s="279">
        <f t="shared" si="5"/>
        <v>76.099999999999994</v>
      </c>
      <c r="P25" s="287">
        <v>34727</v>
      </c>
      <c r="Q25" s="279">
        <f t="shared" si="6"/>
        <v>95.6</v>
      </c>
      <c r="R25" s="287">
        <v>34602</v>
      </c>
      <c r="S25" s="279">
        <f t="shared" si="7"/>
        <v>95.3</v>
      </c>
      <c r="T25" s="286">
        <v>29480</v>
      </c>
      <c r="U25" s="279">
        <f t="shared" si="21"/>
        <v>81.2</v>
      </c>
      <c r="V25" s="288">
        <v>29820</v>
      </c>
      <c r="W25" s="279">
        <f t="shared" si="8"/>
        <v>82.1</v>
      </c>
      <c r="X25" s="290">
        <v>10962</v>
      </c>
      <c r="Y25" s="279">
        <f t="shared" si="9"/>
        <v>30.185873605947954</v>
      </c>
      <c r="Z25" s="740">
        <v>36046</v>
      </c>
      <c r="AA25" s="291">
        <v>34230</v>
      </c>
      <c r="AB25" s="279">
        <f t="shared" si="10"/>
        <v>95</v>
      </c>
      <c r="AC25" s="286">
        <v>30830</v>
      </c>
      <c r="AD25" s="279">
        <f t="shared" si="11"/>
        <v>85.5</v>
      </c>
      <c r="AE25" s="287">
        <v>31172</v>
      </c>
      <c r="AF25" s="279">
        <f t="shared" si="12"/>
        <v>85.8</v>
      </c>
      <c r="AG25" s="288">
        <v>31756</v>
      </c>
      <c r="AH25" s="279">
        <f t="shared" si="13"/>
        <v>87.4</v>
      </c>
      <c r="AI25" s="288">
        <v>26104</v>
      </c>
      <c r="AJ25" s="279">
        <f t="shared" si="14"/>
        <v>72.400000000000006</v>
      </c>
      <c r="AK25" s="288">
        <v>688</v>
      </c>
      <c r="AL25" s="292">
        <f t="shared" si="22"/>
        <v>1.9086722521222881</v>
      </c>
      <c r="AM25" s="288">
        <v>540</v>
      </c>
      <c r="AN25" s="293">
        <v>396</v>
      </c>
      <c r="AO25" s="287">
        <v>29055</v>
      </c>
      <c r="AP25" s="279">
        <f t="shared" si="15"/>
        <v>80.599999999999994</v>
      </c>
      <c r="AQ25" s="287">
        <v>28762</v>
      </c>
      <c r="AR25" s="279">
        <f t="shared" si="16"/>
        <v>79.8</v>
      </c>
      <c r="AS25" s="741">
        <v>34969</v>
      </c>
      <c r="AT25" s="294">
        <v>29411</v>
      </c>
      <c r="AU25" s="279">
        <f t="shared" si="17"/>
        <v>84.1</v>
      </c>
      <c r="AV25" s="286">
        <v>28930</v>
      </c>
      <c r="AW25" s="279">
        <f t="shared" si="18"/>
        <v>82.7</v>
      </c>
      <c r="AX25" s="287">
        <v>28835</v>
      </c>
      <c r="AY25" s="2011">
        <f t="shared" si="19"/>
        <v>82.5</v>
      </c>
      <c r="AZ25" s="2022">
        <v>279523</v>
      </c>
      <c r="BA25" s="2023">
        <v>43035</v>
      </c>
      <c r="BB25" s="2014">
        <f t="shared" si="20"/>
        <v>15.395870822794548</v>
      </c>
    </row>
    <row r="26" spans="1:54" ht="17.100000000000001" customHeight="1" x14ac:dyDescent="0.2">
      <c r="A26" s="637" t="s">
        <v>265</v>
      </c>
      <c r="B26" s="295" t="s">
        <v>122</v>
      </c>
      <c r="C26" s="739">
        <v>41103</v>
      </c>
      <c r="D26" s="286">
        <v>33926</v>
      </c>
      <c r="E26" s="279">
        <f t="shared" si="0"/>
        <v>82.5</v>
      </c>
      <c r="F26" s="287">
        <v>32674</v>
      </c>
      <c r="G26" s="279">
        <f t="shared" si="1"/>
        <v>79.5</v>
      </c>
      <c r="H26" s="288">
        <v>32693</v>
      </c>
      <c r="I26" s="279">
        <f t="shared" si="2"/>
        <v>79.5</v>
      </c>
      <c r="J26" s="288">
        <v>34142</v>
      </c>
      <c r="K26" s="279">
        <f t="shared" si="3"/>
        <v>83.1</v>
      </c>
      <c r="L26" s="286">
        <v>18896</v>
      </c>
      <c r="M26" s="279">
        <f t="shared" si="4"/>
        <v>46</v>
      </c>
      <c r="N26" s="289">
        <v>17861</v>
      </c>
      <c r="O26" s="279">
        <f t="shared" si="5"/>
        <v>43.5</v>
      </c>
      <c r="P26" s="287">
        <v>33265</v>
      </c>
      <c r="Q26" s="279">
        <f t="shared" si="6"/>
        <v>80.900000000000006</v>
      </c>
      <c r="R26" s="287">
        <v>33119</v>
      </c>
      <c r="S26" s="279">
        <f t="shared" si="7"/>
        <v>80.599999999999994</v>
      </c>
      <c r="T26" s="286">
        <v>32182</v>
      </c>
      <c r="U26" s="279">
        <f t="shared" si="21"/>
        <v>78.3</v>
      </c>
      <c r="V26" s="288">
        <v>32327</v>
      </c>
      <c r="W26" s="279">
        <f t="shared" si="8"/>
        <v>78.599999999999994</v>
      </c>
      <c r="X26" s="290">
        <v>10855</v>
      </c>
      <c r="Y26" s="279">
        <f t="shared" si="9"/>
        <v>26.409264530569544</v>
      </c>
      <c r="Z26" s="740">
        <v>40889</v>
      </c>
      <c r="AA26" s="291">
        <v>34704</v>
      </c>
      <c r="AB26" s="279">
        <f t="shared" si="10"/>
        <v>84.9</v>
      </c>
      <c r="AC26" s="286">
        <v>34844</v>
      </c>
      <c r="AD26" s="279">
        <f t="shared" si="11"/>
        <v>85.2</v>
      </c>
      <c r="AE26" s="287">
        <v>32385</v>
      </c>
      <c r="AF26" s="279">
        <f t="shared" si="12"/>
        <v>78.8</v>
      </c>
      <c r="AG26" s="288">
        <v>32406</v>
      </c>
      <c r="AH26" s="279">
        <f t="shared" si="13"/>
        <v>78.8</v>
      </c>
      <c r="AI26" s="288">
        <v>30885</v>
      </c>
      <c r="AJ26" s="279">
        <f t="shared" si="14"/>
        <v>75.5</v>
      </c>
      <c r="AK26" s="288">
        <v>470</v>
      </c>
      <c r="AL26" s="292">
        <f t="shared" si="22"/>
        <v>1.1494533982244612</v>
      </c>
      <c r="AM26" s="288">
        <v>231</v>
      </c>
      <c r="AN26" s="293">
        <v>143</v>
      </c>
      <c r="AO26" s="287">
        <v>34665</v>
      </c>
      <c r="AP26" s="279">
        <f t="shared" si="15"/>
        <v>84.8</v>
      </c>
      <c r="AQ26" s="287">
        <v>35467</v>
      </c>
      <c r="AR26" s="279">
        <f t="shared" si="16"/>
        <v>86.7</v>
      </c>
      <c r="AS26" s="741">
        <v>40662</v>
      </c>
      <c r="AT26" s="294">
        <v>36111</v>
      </c>
      <c r="AU26" s="279">
        <f t="shared" si="17"/>
        <v>88.8</v>
      </c>
      <c r="AV26" s="286">
        <v>37220</v>
      </c>
      <c r="AW26" s="279">
        <f t="shared" si="18"/>
        <v>91.5</v>
      </c>
      <c r="AX26" s="287">
        <v>37086</v>
      </c>
      <c r="AY26" s="2011">
        <f t="shared" si="19"/>
        <v>91.2</v>
      </c>
      <c r="AZ26" s="2022">
        <v>512535</v>
      </c>
      <c r="BA26" s="2023">
        <v>101459</v>
      </c>
      <c r="BB26" s="2014">
        <f t="shared" si="20"/>
        <v>19.795526159189127</v>
      </c>
    </row>
    <row r="27" spans="1:54" ht="17.100000000000001" customHeight="1" x14ac:dyDescent="0.2">
      <c r="A27" s="631" t="s">
        <v>266</v>
      </c>
      <c r="B27" s="295" t="s">
        <v>123</v>
      </c>
      <c r="C27" s="739">
        <v>1080</v>
      </c>
      <c r="D27" s="286">
        <v>690</v>
      </c>
      <c r="E27" s="279">
        <f t="shared" si="0"/>
        <v>63.9</v>
      </c>
      <c r="F27" s="287">
        <v>870</v>
      </c>
      <c r="G27" s="279">
        <f t="shared" si="1"/>
        <v>80.599999999999994</v>
      </c>
      <c r="H27" s="288">
        <v>810</v>
      </c>
      <c r="I27" s="279">
        <f t="shared" si="2"/>
        <v>75</v>
      </c>
      <c r="J27" s="288">
        <v>690</v>
      </c>
      <c r="K27" s="279">
        <f t="shared" si="3"/>
        <v>63.9</v>
      </c>
      <c r="L27" s="286">
        <v>882</v>
      </c>
      <c r="M27" s="279">
        <f t="shared" si="4"/>
        <v>81.7</v>
      </c>
      <c r="N27" s="289">
        <v>634</v>
      </c>
      <c r="O27" s="279">
        <f t="shared" si="5"/>
        <v>58.7</v>
      </c>
      <c r="P27" s="287">
        <v>690</v>
      </c>
      <c r="Q27" s="279">
        <f t="shared" si="6"/>
        <v>63.9</v>
      </c>
      <c r="R27" s="287">
        <v>690</v>
      </c>
      <c r="S27" s="279">
        <f t="shared" si="7"/>
        <v>63.9</v>
      </c>
      <c r="T27" s="286">
        <v>643</v>
      </c>
      <c r="U27" s="279">
        <f t="shared" si="21"/>
        <v>59.5</v>
      </c>
      <c r="V27" s="288">
        <v>589</v>
      </c>
      <c r="W27" s="279">
        <f t="shared" si="8"/>
        <v>54.5</v>
      </c>
      <c r="X27" s="290">
        <v>162</v>
      </c>
      <c r="Y27" s="279">
        <f t="shared" si="9"/>
        <v>15</v>
      </c>
      <c r="Z27" s="740">
        <v>1040</v>
      </c>
      <c r="AA27" s="291">
        <v>884</v>
      </c>
      <c r="AB27" s="279">
        <f t="shared" si="10"/>
        <v>85</v>
      </c>
      <c r="AC27" s="286">
        <v>879</v>
      </c>
      <c r="AD27" s="279">
        <f t="shared" si="11"/>
        <v>84.5</v>
      </c>
      <c r="AE27" s="287">
        <v>876</v>
      </c>
      <c r="AF27" s="279">
        <f t="shared" si="12"/>
        <v>81.099999999999994</v>
      </c>
      <c r="AG27" s="288">
        <v>811</v>
      </c>
      <c r="AH27" s="279">
        <f t="shared" si="13"/>
        <v>75.099999999999994</v>
      </c>
      <c r="AI27" s="288">
        <v>709</v>
      </c>
      <c r="AJ27" s="279">
        <f t="shared" si="14"/>
        <v>68.2</v>
      </c>
      <c r="AK27" s="288">
        <v>65</v>
      </c>
      <c r="AL27" s="292">
        <f t="shared" si="22"/>
        <v>6.25</v>
      </c>
      <c r="AM27" s="288">
        <v>129</v>
      </c>
      <c r="AN27" s="293">
        <v>70</v>
      </c>
      <c r="AO27" s="287">
        <v>886</v>
      </c>
      <c r="AP27" s="279">
        <f t="shared" si="15"/>
        <v>85.2</v>
      </c>
      <c r="AQ27" s="287">
        <v>887</v>
      </c>
      <c r="AR27" s="279">
        <f t="shared" si="16"/>
        <v>85.3</v>
      </c>
      <c r="AS27" s="741">
        <v>947</v>
      </c>
      <c r="AT27" s="294">
        <v>655</v>
      </c>
      <c r="AU27" s="279">
        <f t="shared" si="17"/>
        <v>69.2</v>
      </c>
      <c r="AV27" s="286">
        <v>654</v>
      </c>
      <c r="AW27" s="279">
        <f t="shared" si="18"/>
        <v>69.099999999999994</v>
      </c>
      <c r="AX27" s="287">
        <v>656</v>
      </c>
      <c r="AY27" s="2011">
        <f t="shared" si="19"/>
        <v>69.3</v>
      </c>
      <c r="AZ27" s="2022">
        <v>4680</v>
      </c>
      <c r="BA27" s="2023">
        <v>1087</v>
      </c>
      <c r="BB27" s="2014">
        <f t="shared" si="20"/>
        <v>23.226495726495727</v>
      </c>
    </row>
    <row r="28" spans="1:54" ht="17.100000000000001" customHeight="1" x14ac:dyDescent="0.2">
      <c r="A28" s="636" t="s">
        <v>267</v>
      </c>
      <c r="B28" s="297" t="s">
        <v>26</v>
      </c>
      <c r="C28" s="739">
        <v>2831</v>
      </c>
      <c r="D28" s="286">
        <v>1599</v>
      </c>
      <c r="E28" s="279">
        <f t="shared" si="0"/>
        <v>56.5</v>
      </c>
      <c r="F28" s="287">
        <v>1449</v>
      </c>
      <c r="G28" s="279">
        <f t="shared" si="1"/>
        <v>51.2</v>
      </c>
      <c r="H28" s="288">
        <v>1495</v>
      </c>
      <c r="I28" s="279">
        <f t="shared" si="2"/>
        <v>52.8</v>
      </c>
      <c r="J28" s="288">
        <v>1598</v>
      </c>
      <c r="K28" s="279">
        <f t="shared" si="3"/>
        <v>56.4</v>
      </c>
      <c r="L28" s="286">
        <v>1440</v>
      </c>
      <c r="M28" s="279">
        <f t="shared" si="4"/>
        <v>50.9</v>
      </c>
      <c r="N28" s="289">
        <v>1356</v>
      </c>
      <c r="O28" s="279">
        <f t="shared" si="5"/>
        <v>47.9</v>
      </c>
      <c r="P28" s="287">
        <v>1598</v>
      </c>
      <c r="Q28" s="279">
        <f t="shared" si="6"/>
        <v>56.4</v>
      </c>
      <c r="R28" s="287">
        <v>1598</v>
      </c>
      <c r="S28" s="279">
        <f t="shared" si="7"/>
        <v>56.4</v>
      </c>
      <c r="T28" s="286">
        <v>1424</v>
      </c>
      <c r="U28" s="279">
        <f t="shared" si="21"/>
        <v>50.3</v>
      </c>
      <c r="V28" s="288">
        <v>1459</v>
      </c>
      <c r="W28" s="279">
        <f t="shared" si="8"/>
        <v>51.5</v>
      </c>
      <c r="X28" s="290">
        <v>749</v>
      </c>
      <c r="Y28" s="279">
        <f t="shared" si="9"/>
        <v>26.457082303073122</v>
      </c>
      <c r="Z28" s="740">
        <v>2833</v>
      </c>
      <c r="AA28" s="291">
        <v>1698</v>
      </c>
      <c r="AB28" s="279">
        <f t="shared" si="10"/>
        <v>59.9</v>
      </c>
      <c r="AC28" s="286">
        <v>1705</v>
      </c>
      <c r="AD28" s="279">
        <f t="shared" si="11"/>
        <v>60.2</v>
      </c>
      <c r="AE28" s="287">
        <v>1453</v>
      </c>
      <c r="AF28" s="279">
        <f t="shared" si="12"/>
        <v>51.3</v>
      </c>
      <c r="AG28" s="288">
        <v>1500</v>
      </c>
      <c r="AH28" s="279">
        <f t="shared" si="13"/>
        <v>53</v>
      </c>
      <c r="AI28" s="288">
        <v>1681</v>
      </c>
      <c r="AJ28" s="279">
        <f t="shared" si="14"/>
        <v>59.3</v>
      </c>
      <c r="AK28" s="288">
        <v>24</v>
      </c>
      <c r="AL28" s="292">
        <f t="shared" si="22"/>
        <v>0.84715848923402759</v>
      </c>
      <c r="AM28" s="288">
        <v>33</v>
      </c>
      <c r="AN28" s="293">
        <v>35</v>
      </c>
      <c r="AO28" s="287">
        <v>1658</v>
      </c>
      <c r="AP28" s="279">
        <f t="shared" si="15"/>
        <v>58.5</v>
      </c>
      <c r="AQ28" s="287">
        <v>1658</v>
      </c>
      <c r="AR28" s="279">
        <f t="shared" si="16"/>
        <v>58.5</v>
      </c>
      <c r="AS28" s="741">
        <v>2795</v>
      </c>
      <c r="AT28" s="294">
        <v>1578</v>
      </c>
      <c r="AU28" s="279">
        <f t="shared" si="17"/>
        <v>56.5</v>
      </c>
      <c r="AV28" s="286">
        <v>1579</v>
      </c>
      <c r="AW28" s="279">
        <f t="shared" si="18"/>
        <v>56.5</v>
      </c>
      <c r="AX28" s="287">
        <v>1576</v>
      </c>
      <c r="AY28" s="2011">
        <f t="shared" si="19"/>
        <v>56.4</v>
      </c>
      <c r="AZ28" s="2022">
        <v>13915</v>
      </c>
      <c r="BA28" s="2023">
        <v>3124</v>
      </c>
      <c r="BB28" s="2014">
        <f t="shared" si="20"/>
        <v>22.450592885375496</v>
      </c>
    </row>
    <row r="29" spans="1:54" ht="17.100000000000001" customHeight="1" x14ac:dyDescent="0.2">
      <c r="A29" s="636" t="s">
        <v>268</v>
      </c>
      <c r="B29" s="297" t="s">
        <v>27</v>
      </c>
      <c r="C29" s="739">
        <v>20956</v>
      </c>
      <c r="D29" s="286">
        <v>19904</v>
      </c>
      <c r="E29" s="279">
        <f t="shared" si="0"/>
        <v>95</v>
      </c>
      <c r="F29" s="287">
        <v>20848</v>
      </c>
      <c r="G29" s="279">
        <f t="shared" si="1"/>
        <v>99.5</v>
      </c>
      <c r="H29" s="288">
        <v>20380</v>
      </c>
      <c r="I29" s="279">
        <f t="shared" si="2"/>
        <v>97.3</v>
      </c>
      <c r="J29" s="288">
        <v>19904</v>
      </c>
      <c r="K29" s="279">
        <f t="shared" si="3"/>
        <v>95</v>
      </c>
      <c r="L29" s="286">
        <v>17763</v>
      </c>
      <c r="M29" s="279">
        <f t="shared" si="4"/>
        <v>84.8</v>
      </c>
      <c r="N29" s="289">
        <v>17485</v>
      </c>
      <c r="O29" s="279">
        <f t="shared" si="5"/>
        <v>83.4</v>
      </c>
      <c r="P29" s="287">
        <v>19908</v>
      </c>
      <c r="Q29" s="279">
        <f t="shared" si="6"/>
        <v>95</v>
      </c>
      <c r="R29" s="287">
        <v>19904</v>
      </c>
      <c r="S29" s="279">
        <f t="shared" si="7"/>
        <v>95</v>
      </c>
      <c r="T29" s="286">
        <v>20565</v>
      </c>
      <c r="U29" s="279">
        <f t="shared" si="21"/>
        <v>98.1</v>
      </c>
      <c r="V29" s="288">
        <v>20073</v>
      </c>
      <c r="W29" s="279">
        <f t="shared" si="8"/>
        <v>95.8</v>
      </c>
      <c r="X29" s="290">
        <v>8270</v>
      </c>
      <c r="Y29" s="279">
        <f t="shared" si="9"/>
        <v>39.46363809887383</v>
      </c>
      <c r="Z29" s="740">
        <v>20876</v>
      </c>
      <c r="AA29" s="291">
        <v>20171</v>
      </c>
      <c r="AB29" s="279">
        <f t="shared" si="10"/>
        <v>96.6</v>
      </c>
      <c r="AC29" s="286">
        <v>20258</v>
      </c>
      <c r="AD29" s="279">
        <f t="shared" si="11"/>
        <v>97</v>
      </c>
      <c r="AE29" s="287">
        <v>21120</v>
      </c>
      <c r="AF29" s="279">
        <f t="shared" si="12"/>
        <v>100.8</v>
      </c>
      <c r="AG29" s="288">
        <v>21132</v>
      </c>
      <c r="AH29" s="279">
        <f t="shared" si="13"/>
        <v>100.8</v>
      </c>
      <c r="AI29" s="288">
        <v>18337</v>
      </c>
      <c r="AJ29" s="279">
        <f t="shared" si="14"/>
        <v>87.8</v>
      </c>
      <c r="AK29" s="288">
        <v>775</v>
      </c>
      <c r="AL29" s="292">
        <f t="shared" si="22"/>
        <v>3.7123970109216322</v>
      </c>
      <c r="AM29" s="288">
        <v>347</v>
      </c>
      <c r="AN29" s="293">
        <v>1275</v>
      </c>
      <c r="AO29" s="287">
        <v>19102</v>
      </c>
      <c r="AP29" s="279">
        <f t="shared" si="15"/>
        <v>91.5</v>
      </c>
      <c r="AQ29" s="287">
        <v>19102</v>
      </c>
      <c r="AR29" s="279">
        <f t="shared" si="16"/>
        <v>91.5</v>
      </c>
      <c r="AS29" s="741">
        <v>20855</v>
      </c>
      <c r="AT29" s="294">
        <v>19862</v>
      </c>
      <c r="AU29" s="279">
        <f t="shared" si="17"/>
        <v>95.2</v>
      </c>
      <c r="AV29" s="286">
        <v>19862</v>
      </c>
      <c r="AW29" s="279">
        <f t="shared" si="18"/>
        <v>95.2</v>
      </c>
      <c r="AX29" s="287">
        <v>19865</v>
      </c>
      <c r="AY29" s="2011">
        <f t="shared" si="19"/>
        <v>95.3</v>
      </c>
      <c r="AZ29" s="2022">
        <v>200297</v>
      </c>
      <c r="BA29" s="2023">
        <v>42574</v>
      </c>
      <c r="BB29" s="2014">
        <f t="shared" si="20"/>
        <v>21.255435678018141</v>
      </c>
    </row>
    <row r="30" spans="1:54" ht="17.100000000000001" customHeight="1" x14ac:dyDescent="0.2">
      <c r="A30" s="636" t="s">
        <v>269</v>
      </c>
      <c r="B30" s="297" t="s">
        <v>124</v>
      </c>
      <c r="C30" s="739">
        <v>20423</v>
      </c>
      <c r="D30" s="286">
        <v>17930</v>
      </c>
      <c r="E30" s="279">
        <f t="shared" si="0"/>
        <v>87.8</v>
      </c>
      <c r="F30" s="287">
        <v>19370</v>
      </c>
      <c r="G30" s="279">
        <f t="shared" si="1"/>
        <v>94.8</v>
      </c>
      <c r="H30" s="288">
        <v>18096</v>
      </c>
      <c r="I30" s="279">
        <f t="shared" si="2"/>
        <v>88.6</v>
      </c>
      <c r="J30" s="288">
        <v>17957</v>
      </c>
      <c r="K30" s="279">
        <f t="shared" si="3"/>
        <v>87.9</v>
      </c>
      <c r="L30" s="286">
        <v>17752</v>
      </c>
      <c r="M30" s="279">
        <f t="shared" si="4"/>
        <v>86.9</v>
      </c>
      <c r="N30" s="289">
        <v>14996</v>
      </c>
      <c r="O30" s="279">
        <f t="shared" si="5"/>
        <v>73.400000000000006</v>
      </c>
      <c r="P30" s="287">
        <v>18014</v>
      </c>
      <c r="Q30" s="279">
        <f t="shared" si="6"/>
        <v>88.2</v>
      </c>
      <c r="R30" s="287">
        <v>17988</v>
      </c>
      <c r="S30" s="279">
        <f t="shared" si="7"/>
        <v>88.1</v>
      </c>
      <c r="T30" s="286">
        <v>18434</v>
      </c>
      <c r="U30" s="279">
        <f t="shared" si="21"/>
        <v>90.3</v>
      </c>
      <c r="V30" s="288">
        <v>16757</v>
      </c>
      <c r="W30" s="279">
        <f t="shared" si="8"/>
        <v>82</v>
      </c>
      <c r="X30" s="290">
        <v>5452</v>
      </c>
      <c r="Y30" s="279">
        <f t="shared" si="9"/>
        <v>26.695392449689077</v>
      </c>
      <c r="Z30" s="740">
        <v>19976</v>
      </c>
      <c r="AA30" s="291">
        <v>19432</v>
      </c>
      <c r="AB30" s="279">
        <f t="shared" si="10"/>
        <v>97.3</v>
      </c>
      <c r="AC30" s="286">
        <v>19210</v>
      </c>
      <c r="AD30" s="279">
        <f t="shared" si="11"/>
        <v>96.2</v>
      </c>
      <c r="AE30" s="287">
        <v>19593</v>
      </c>
      <c r="AF30" s="279">
        <f t="shared" si="12"/>
        <v>95.9</v>
      </c>
      <c r="AG30" s="288">
        <v>18571</v>
      </c>
      <c r="AH30" s="279">
        <f t="shared" si="13"/>
        <v>90.9</v>
      </c>
      <c r="AI30" s="288">
        <v>15493</v>
      </c>
      <c r="AJ30" s="279">
        <f t="shared" si="14"/>
        <v>77.599999999999994</v>
      </c>
      <c r="AK30" s="288">
        <v>501</v>
      </c>
      <c r="AL30" s="292">
        <f t="shared" si="22"/>
        <v>2.5080096115338404</v>
      </c>
      <c r="AM30" s="288">
        <v>488</v>
      </c>
      <c r="AN30" s="293">
        <v>754</v>
      </c>
      <c r="AO30" s="287">
        <v>17375</v>
      </c>
      <c r="AP30" s="279">
        <f t="shared" si="15"/>
        <v>87</v>
      </c>
      <c r="AQ30" s="287">
        <v>17437</v>
      </c>
      <c r="AR30" s="279">
        <f t="shared" si="16"/>
        <v>87.3</v>
      </c>
      <c r="AS30" s="741">
        <v>18122</v>
      </c>
      <c r="AT30" s="294">
        <v>14736</v>
      </c>
      <c r="AU30" s="279">
        <f t="shared" si="17"/>
        <v>81.3</v>
      </c>
      <c r="AV30" s="286">
        <v>14787</v>
      </c>
      <c r="AW30" s="279">
        <f t="shared" si="18"/>
        <v>81.599999999999994</v>
      </c>
      <c r="AX30" s="287">
        <v>14524</v>
      </c>
      <c r="AY30" s="2011">
        <f t="shared" si="19"/>
        <v>80.099999999999994</v>
      </c>
      <c r="AZ30" s="2022">
        <v>117991</v>
      </c>
      <c r="BA30" s="2023">
        <v>18925</v>
      </c>
      <c r="BB30" s="2014">
        <f t="shared" si="20"/>
        <v>16.039358934155995</v>
      </c>
    </row>
    <row r="31" spans="1:54" ht="17.100000000000001" customHeight="1" x14ac:dyDescent="0.2">
      <c r="A31" s="636" t="s">
        <v>270</v>
      </c>
      <c r="B31" s="297" t="s">
        <v>28</v>
      </c>
      <c r="C31" s="739">
        <v>18938</v>
      </c>
      <c r="D31" s="286">
        <v>17507</v>
      </c>
      <c r="E31" s="279">
        <f t="shared" si="0"/>
        <v>92.4</v>
      </c>
      <c r="F31" s="287">
        <v>17588</v>
      </c>
      <c r="G31" s="279">
        <f t="shared" si="1"/>
        <v>92.9</v>
      </c>
      <c r="H31" s="288">
        <v>17273</v>
      </c>
      <c r="I31" s="279">
        <f t="shared" si="2"/>
        <v>91.2</v>
      </c>
      <c r="J31" s="288">
        <v>17515</v>
      </c>
      <c r="K31" s="279">
        <f t="shared" si="3"/>
        <v>92.5</v>
      </c>
      <c r="L31" s="286">
        <v>15322</v>
      </c>
      <c r="M31" s="279">
        <f t="shared" si="4"/>
        <v>80.900000000000006</v>
      </c>
      <c r="N31" s="289">
        <v>13879</v>
      </c>
      <c r="O31" s="279">
        <f t="shared" si="5"/>
        <v>73.3</v>
      </c>
      <c r="P31" s="287">
        <v>17522</v>
      </c>
      <c r="Q31" s="279">
        <f t="shared" si="6"/>
        <v>92.5</v>
      </c>
      <c r="R31" s="287">
        <v>17515</v>
      </c>
      <c r="S31" s="279">
        <f t="shared" si="7"/>
        <v>92.5</v>
      </c>
      <c r="T31" s="286">
        <v>17380</v>
      </c>
      <c r="U31" s="279">
        <f t="shared" si="21"/>
        <v>91.8</v>
      </c>
      <c r="V31" s="288">
        <v>16957</v>
      </c>
      <c r="W31" s="279">
        <f t="shared" si="8"/>
        <v>89.5</v>
      </c>
      <c r="X31" s="290">
        <v>7633</v>
      </c>
      <c r="Y31" s="279">
        <f t="shared" si="9"/>
        <v>40.305206463195695</v>
      </c>
      <c r="Z31" s="740">
        <v>18961</v>
      </c>
      <c r="AA31" s="291">
        <v>18368</v>
      </c>
      <c r="AB31" s="279">
        <f t="shared" si="10"/>
        <v>96.9</v>
      </c>
      <c r="AC31" s="286">
        <v>18469</v>
      </c>
      <c r="AD31" s="279">
        <f t="shared" si="11"/>
        <v>97.4</v>
      </c>
      <c r="AE31" s="287">
        <v>18056</v>
      </c>
      <c r="AF31" s="279">
        <f t="shared" si="12"/>
        <v>95.3</v>
      </c>
      <c r="AG31" s="288">
        <v>17922</v>
      </c>
      <c r="AH31" s="279">
        <f t="shared" si="13"/>
        <v>94.6</v>
      </c>
      <c r="AI31" s="288">
        <v>18929</v>
      </c>
      <c r="AJ31" s="279">
        <f t="shared" si="14"/>
        <v>99.8</v>
      </c>
      <c r="AK31" s="288">
        <v>466</v>
      </c>
      <c r="AL31" s="292">
        <f t="shared" si="22"/>
        <v>2.4576762828964718</v>
      </c>
      <c r="AM31" s="288">
        <v>185</v>
      </c>
      <c r="AN31" s="293">
        <v>288</v>
      </c>
      <c r="AO31" s="287">
        <v>18183</v>
      </c>
      <c r="AP31" s="279">
        <f t="shared" si="15"/>
        <v>95.9</v>
      </c>
      <c r="AQ31" s="287">
        <v>18162</v>
      </c>
      <c r="AR31" s="279">
        <f t="shared" si="16"/>
        <v>95.8</v>
      </c>
      <c r="AS31" s="741">
        <v>18760</v>
      </c>
      <c r="AT31" s="294">
        <v>17480</v>
      </c>
      <c r="AU31" s="279">
        <f t="shared" si="17"/>
        <v>93.2</v>
      </c>
      <c r="AV31" s="286">
        <v>17471</v>
      </c>
      <c r="AW31" s="279">
        <f t="shared" si="18"/>
        <v>93.1</v>
      </c>
      <c r="AX31" s="287">
        <v>17303</v>
      </c>
      <c r="AY31" s="2011">
        <f t="shared" si="19"/>
        <v>92.2</v>
      </c>
      <c r="AZ31" s="2022">
        <v>128492</v>
      </c>
      <c r="BA31" s="2023">
        <v>41111</v>
      </c>
      <c r="BB31" s="2014">
        <f t="shared" si="20"/>
        <v>31.994988014818045</v>
      </c>
    </row>
    <row r="32" spans="1:54" ht="17.100000000000001" customHeight="1" x14ac:dyDescent="0.2">
      <c r="A32" s="632" t="s">
        <v>271</v>
      </c>
      <c r="B32" s="296" t="s">
        <v>127</v>
      </c>
      <c r="C32" s="739">
        <v>9005</v>
      </c>
      <c r="D32" s="286">
        <v>8895</v>
      </c>
      <c r="E32" s="279">
        <f t="shared" si="0"/>
        <v>98.8</v>
      </c>
      <c r="F32" s="287">
        <v>9383</v>
      </c>
      <c r="G32" s="279">
        <f t="shared" si="1"/>
        <v>104.2</v>
      </c>
      <c r="H32" s="288">
        <v>8986</v>
      </c>
      <c r="I32" s="279">
        <f t="shared" si="2"/>
        <v>99.8</v>
      </c>
      <c r="J32" s="288">
        <v>8914</v>
      </c>
      <c r="K32" s="279">
        <f t="shared" si="3"/>
        <v>99</v>
      </c>
      <c r="L32" s="286">
        <v>9755</v>
      </c>
      <c r="M32" s="279">
        <f t="shared" si="4"/>
        <v>108.3</v>
      </c>
      <c r="N32" s="289">
        <v>9072</v>
      </c>
      <c r="O32" s="279">
        <f t="shared" si="5"/>
        <v>100.7</v>
      </c>
      <c r="P32" s="287">
        <v>8835</v>
      </c>
      <c r="Q32" s="279">
        <f t="shared" si="6"/>
        <v>98.1</v>
      </c>
      <c r="R32" s="287">
        <v>8793</v>
      </c>
      <c r="S32" s="279">
        <f t="shared" si="7"/>
        <v>97.6</v>
      </c>
      <c r="T32" s="286">
        <v>6881</v>
      </c>
      <c r="U32" s="279">
        <f t="shared" si="21"/>
        <v>76.400000000000006</v>
      </c>
      <c r="V32" s="288">
        <v>6979</v>
      </c>
      <c r="W32" s="279">
        <f t="shared" si="8"/>
        <v>77.5</v>
      </c>
      <c r="X32" s="290">
        <v>2591</v>
      </c>
      <c r="Y32" s="279">
        <f t="shared" si="9"/>
        <v>28.772903942254302</v>
      </c>
      <c r="Z32" s="740">
        <v>9115</v>
      </c>
      <c r="AA32" s="291">
        <v>9036</v>
      </c>
      <c r="AB32" s="279">
        <f t="shared" si="10"/>
        <v>99.1</v>
      </c>
      <c r="AC32" s="286">
        <v>8449</v>
      </c>
      <c r="AD32" s="279">
        <f t="shared" si="11"/>
        <v>92.7</v>
      </c>
      <c r="AE32" s="287">
        <v>9251</v>
      </c>
      <c r="AF32" s="279">
        <f t="shared" si="12"/>
        <v>102.7</v>
      </c>
      <c r="AG32" s="288">
        <v>7696</v>
      </c>
      <c r="AH32" s="279">
        <f t="shared" si="13"/>
        <v>85.5</v>
      </c>
      <c r="AI32" s="288">
        <v>5128</v>
      </c>
      <c r="AJ32" s="279">
        <f t="shared" si="14"/>
        <v>56.3</v>
      </c>
      <c r="AK32" s="288">
        <v>1069</v>
      </c>
      <c r="AL32" s="292">
        <f t="shared" si="22"/>
        <v>11.727921009325289</v>
      </c>
      <c r="AM32" s="288">
        <v>703</v>
      </c>
      <c r="AN32" s="293">
        <v>1649</v>
      </c>
      <c r="AO32" s="287">
        <v>5931</v>
      </c>
      <c r="AP32" s="279">
        <f t="shared" si="15"/>
        <v>65.099999999999994</v>
      </c>
      <c r="AQ32" s="287">
        <v>5671</v>
      </c>
      <c r="AR32" s="279">
        <f t="shared" si="16"/>
        <v>62.2</v>
      </c>
      <c r="AS32" s="741">
        <v>9294</v>
      </c>
      <c r="AT32" s="294">
        <v>5818</v>
      </c>
      <c r="AU32" s="279">
        <f>ROUND(AT32/$AS32*100,1)</f>
        <v>62.6</v>
      </c>
      <c r="AV32" s="286">
        <v>5730</v>
      </c>
      <c r="AW32" s="279">
        <f>ROUND(AV32/$AS32*100,1)</f>
        <v>61.7</v>
      </c>
      <c r="AX32" s="287">
        <v>5795</v>
      </c>
      <c r="AY32" s="2011">
        <f>ROUND(AX32/$AS32*100,1)</f>
        <v>62.4</v>
      </c>
      <c r="AZ32" s="2022">
        <v>78410</v>
      </c>
      <c r="BA32" s="2023">
        <v>9969</v>
      </c>
      <c r="BB32" s="2014">
        <f t="shared" si="20"/>
        <v>12.713939548526973</v>
      </c>
    </row>
    <row r="33" spans="1:54" ht="17.100000000000001" customHeight="1" x14ac:dyDescent="0.2">
      <c r="A33" s="631" t="s">
        <v>272</v>
      </c>
      <c r="B33" s="295" t="s">
        <v>29</v>
      </c>
      <c r="C33" s="739">
        <v>17116</v>
      </c>
      <c r="D33" s="286">
        <v>16213</v>
      </c>
      <c r="E33" s="279">
        <f t="shared" si="0"/>
        <v>94.7</v>
      </c>
      <c r="F33" s="287">
        <v>16422</v>
      </c>
      <c r="G33" s="279">
        <f t="shared" si="1"/>
        <v>95.9</v>
      </c>
      <c r="H33" s="286">
        <v>16109</v>
      </c>
      <c r="I33" s="279">
        <f t="shared" si="2"/>
        <v>94.1</v>
      </c>
      <c r="J33" s="286">
        <v>16213</v>
      </c>
      <c r="K33" s="279">
        <f t="shared" si="3"/>
        <v>94.7</v>
      </c>
      <c r="L33" s="286">
        <v>16813</v>
      </c>
      <c r="M33" s="279">
        <f t="shared" si="4"/>
        <v>98.2</v>
      </c>
      <c r="N33" s="289">
        <v>16481</v>
      </c>
      <c r="O33" s="279">
        <f t="shared" si="5"/>
        <v>96.3</v>
      </c>
      <c r="P33" s="287">
        <v>16476</v>
      </c>
      <c r="Q33" s="279">
        <f t="shared" si="6"/>
        <v>96.3</v>
      </c>
      <c r="R33" s="287">
        <v>16213</v>
      </c>
      <c r="S33" s="279">
        <f t="shared" si="7"/>
        <v>94.7</v>
      </c>
      <c r="T33" s="286">
        <v>15775</v>
      </c>
      <c r="U33" s="279">
        <f t="shared" si="21"/>
        <v>92.2</v>
      </c>
      <c r="V33" s="286">
        <v>15559</v>
      </c>
      <c r="W33" s="279">
        <f t="shared" si="8"/>
        <v>90.9</v>
      </c>
      <c r="X33" s="290">
        <v>5828</v>
      </c>
      <c r="Y33" s="279">
        <f t="shared" si="9"/>
        <v>34.050011684973128</v>
      </c>
      <c r="Z33" s="740">
        <v>17155</v>
      </c>
      <c r="AA33" s="291">
        <v>16827</v>
      </c>
      <c r="AB33" s="279">
        <f t="shared" si="10"/>
        <v>98.1</v>
      </c>
      <c r="AC33" s="286">
        <v>16728</v>
      </c>
      <c r="AD33" s="279">
        <f t="shared" si="11"/>
        <v>97.5</v>
      </c>
      <c r="AE33" s="287">
        <v>16776</v>
      </c>
      <c r="AF33" s="279">
        <f t="shared" si="12"/>
        <v>98</v>
      </c>
      <c r="AG33" s="288">
        <v>16672</v>
      </c>
      <c r="AH33" s="279">
        <f t="shared" si="13"/>
        <v>97.4</v>
      </c>
      <c r="AI33" s="288">
        <v>15831</v>
      </c>
      <c r="AJ33" s="279">
        <f t="shared" si="14"/>
        <v>92.3</v>
      </c>
      <c r="AK33" s="288">
        <v>171</v>
      </c>
      <c r="AL33" s="292">
        <f t="shared" si="22"/>
        <v>0.99679393762751378</v>
      </c>
      <c r="AM33" s="288">
        <v>214</v>
      </c>
      <c r="AN33" s="293">
        <v>121</v>
      </c>
      <c r="AO33" s="287">
        <v>16064</v>
      </c>
      <c r="AP33" s="279">
        <f t="shared" si="15"/>
        <v>93.6</v>
      </c>
      <c r="AQ33" s="287">
        <v>16074</v>
      </c>
      <c r="AR33" s="279">
        <f t="shared" si="16"/>
        <v>93.7</v>
      </c>
      <c r="AS33" s="741">
        <v>16958</v>
      </c>
      <c r="AT33" s="294">
        <v>15741</v>
      </c>
      <c r="AU33" s="279">
        <f t="shared" si="17"/>
        <v>92.8</v>
      </c>
      <c r="AV33" s="286">
        <v>15764</v>
      </c>
      <c r="AW33" s="279">
        <f t="shared" si="18"/>
        <v>93</v>
      </c>
      <c r="AX33" s="287">
        <v>15890</v>
      </c>
      <c r="AY33" s="2011">
        <f t="shared" si="19"/>
        <v>93.7</v>
      </c>
      <c r="AZ33" s="2022">
        <v>155467</v>
      </c>
      <c r="BA33" s="2023">
        <v>31522</v>
      </c>
      <c r="BB33" s="2014">
        <f t="shared" si="20"/>
        <v>20.27568551525404</v>
      </c>
    </row>
    <row r="34" spans="1:54" ht="17.100000000000001" customHeight="1" x14ac:dyDescent="0.2">
      <c r="A34" s="636" t="s">
        <v>273</v>
      </c>
      <c r="B34" s="297" t="s">
        <v>30</v>
      </c>
      <c r="C34" s="739">
        <v>24493</v>
      </c>
      <c r="D34" s="286">
        <v>20698</v>
      </c>
      <c r="E34" s="279">
        <f t="shared" si="0"/>
        <v>84.5</v>
      </c>
      <c r="F34" s="287">
        <v>20758</v>
      </c>
      <c r="G34" s="279">
        <f t="shared" si="1"/>
        <v>84.8</v>
      </c>
      <c r="H34" s="288">
        <v>20517</v>
      </c>
      <c r="I34" s="279">
        <f t="shared" si="2"/>
        <v>83.8</v>
      </c>
      <c r="J34" s="288">
        <v>20695</v>
      </c>
      <c r="K34" s="279">
        <f t="shared" si="3"/>
        <v>84.5</v>
      </c>
      <c r="L34" s="286">
        <v>19904</v>
      </c>
      <c r="M34" s="279">
        <f t="shared" si="4"/>
        <v>81.3</v>
      </c>
      <c r="N34" s="289">
        <v>18969</v>
      </c>
      <c r="O34" s="279">
        <f t="shared" si="5"/>
        <v>77.400000000000006</v>
      </c>
      <c r="P34" s="287">
        <v>20507</v>
      </c>
      <c r="Q34" s="279">
        <f t="shared" si="6"/>
        <v>83.7</v>
      </c>
      <c r="R34" s="287">
        <v>20494</v>
      </c>
      <c r="S34" s="279">
        <f t="shared" si="7"/>
        <v>83.7</v>
      </c>
      <c r="T34" s="286">
        <v>20485</v>
      </c>
      <c r="U34" s="279">
        <f t="shared" si="21"/>
        <v>83.6</v>
      </c>
      <c r="V34" s="288">
        <v>20085</v>
      </c>
      <c r="W34" s="279">
        <f t="shared" si="8"/>
        <v>82</v>
      </c>
      <c r="X34" s="290">
        <v>8345</v>
      </c>
      <c r="Y34" s="279">
        <f t="shared" si="9"/>
        <v>34.070959049524355</v>
      </c>
      <c r="Z34" s="740">
        <v>24479</v>
      </c>
      <c r="AA34" s="291">
        <v>21617</v>
      </c>
      <c r="AB34" s="279">
        <f t="shared" si="10"/>
        <v>88.3</v>
      </c>
      <c r="AC34" s="286">
        <v>21822</v>
      </c>
      <c r="AD34" s="279">
        <f t="shared" si="11"/>
        <v>89.1</v>
      </c>
      <c r="AE34" s="287">
        <v>20807</v>
      </c>
      <c r="AF34" s="279">
        <f t="shared" si="12"/>
        <v>85</v>
      </c>
      <c r="AG34" s="288">
        <v>20643</v>
      </c>
      <c r="AH34" s="279">
        <f t="shared" si="13"/>
        <v>84.3</v>
      </c>
      <c r="AI34" s="288">
        <v>21357</v>
      </c>
      <c r="AJ34" s="279">
        <f t="shared" si="14"/>
        <v>87.2</v>
      </c>
      <c r="AK34" s="288">
        <v>236</v>
      </c>
      <c r="AL34" s="292">
        <f t="shared" si="22"/>
        <v>0.964091670411373</v>
      </c>
      <c r="AM34" s="288">
        <v>169</v>
      </c>
      <c r="AN34" s="293">
        <v>243</v>
      </c>
      <c r="AO34" s="287">
        <v>21655</v>
      </c>
      <c r="AP34" s="279">
        <f t="shared" si="15"/>
        <v>88.5</v>
      </c>
      <c r="AQ34" s="287">
        <v>21651</v>
      </c>
      <c r="AR34" s="279">
        <f t="shared" si="16"/>
        <v>88.4</v>
      </c>
      <c r="AS34" s="741">
        <v>24745</v>
      </c>
      <c r="AT34" s="294">
        <v>23433</v>
      </c>
      <c r="AU34" s="279">
        <f t="shared" si="17"/>
        <v>94.7</v>
      </c>
      <c r="AV34" s="286">
        <v>23428</v>
      </c>
      <c r="AW34" s="279">
        <f t="shared" si="18"/>
        <v>94.7</v>
      </c>
      <c r="AX34" s="287">
        <v>23462</v>
      </c>
      <c r="AY34" s="2011">
        <f t="shared" si="19"/>
        <v>94.8</v>
      </c>
      <c r="AZ34" s="2022">
        <v>305688</v>
      </c>
      <c r="BA34" s="2023">
        <v>77171</v>
      </c>
      <c r="BB34" s="2014">
        <f t="shared" si="20"/>
        <v>25.245021067231949</v>
      </c>
    </row>
    <row r="35" spans="1:54" ht="14.25" customHeight="1" x14ac:dyDescent="0.2">
      <c r="A35" s="638" t="s">
        <v>274</v>
      </c>
      <c r="B35" s="298" t="s">
        <v>125</v>
      </c>
      <c r="C35" s="739">
        <v>24409</v>
      </c>
      <c r="D35" s="286">
        <v>22373</v>
      </c>
      <c r="E35" s="279">
        <f t="shared" si="0"/>
        <v>91.7</v>
      </c>
      <c r="F35" s="287">
        <v>22202</v>
      </c>
      <c r="G35" s="279">
        <f t="shared" si="1"/>
        <v>91</v>
      </c>
      <c r="H35" s="288">
        <v>21998</v>
      </c>
      <c r="I35" s="279">
        <f t="shared" si="2"/>
        <v>90.1</v>
      </c>
      <c r="J35" s="288">
        <v>22365</v>
      </c>
      <c r="K35" s="279">
        <f t="shared" si="3"/>
        <v>91.6</v>
      </c>
      <c r="L35" s="286">
        <v>21220</v>
      </c>
      <c r="M35" s="279">
        <f t="shared" si="4"/>
        <v>86.9</v>
      </c>
      <c r="N35" s="289">
        <v>20632</v>
      </c>
      <c r="O35" s="279">
        <f t="shared" si="5"/>
        <v>84.5</v>
      </c>
      <c r="P35" s="287">
        <v>22366</v>
      </c>
      <c r="Q35" s="279">
        <f t="shared" si="6"/>
        <v>91.6</v>
      </c>
      <c r="R35" s="287">
        <v>22364</v>
      </c>
      <c r="S35" s="279">
        <f t="shared" si="7"/>
        <v>91.6</v>
      </c>
      <c r="T35" s="286">
        <v>21499</v>
      </c>
      <c r="U35" s="279">
        <f t="shared" si="21"/>
        <v>88.1</v>
      </c>
      <c r="V35" s="288">
        <v>21141</v>
      </c>
      <c r="W35" s="279">
        <f t="shared" si="8"/>
        <v>86.6</v>
      </c>
      <c r="X35" s="290">
        <v>7442</v>
      </c>
      <c r="Y35" s="279">
        <f t="shared" si="9"/>
        <v>30.488754148060142</v>
      </c>
      <c r="Z35" s="740">
        <v>24692</v>
      </c>
      <c r="AA35" s="291">
        <v>23808</v>
      </c>
      <c r="AB35" s="279">
        <f t="shared" si="10"/>
        <v>96.4</v>
      </c>
      <c r="AC35" s="286">
        <v>23933</v>
      </c>
      <c r="AD35" s="279">
        <f t="shared" si="11"/>
        <v>96.9</v>
      </c>
      <c r="AE35" s="287">
        <v>22493</v>
      </c>
      <c r="AF35" s="279">
        <f t="shared" si="12"/>
        <v>92.2</v>
      </c>
      <c r="AG35" s="288">
        <v>22409</v>
      </c>
      <c r="AH35" s="279">
        <f t="shared" si="13"/>
        <v>91.8</v>
      </c>
      <c r="AI35" s="288">
        <v>22228</v>
      </c>
      <c r="AJ35" s="279">
        <f t="shared" si="14"/>
        <v>90</v>
      </c>
      <c r="AK35" s="288">
        <v>551</v>
      </c>
      <c r="AL35" s="292">
        <f t="shared" si="22"/>
        <v>2.2314919812084884</v>
      </c>
      <c r="AM35" s="288">
        <v>651</v>
      </c>
      <c r="AN35" s="293">
        <v>142</v>
      </c>
      <c r="AO35" s="287">
        <v>22981</v>
      </c>
      <c r="AP35" s="279">
        <f t="shared" si="15"/>
        <v>93.1</v>
      </c>
      <c r="AQ35" s="287">
        <v>22958</v>
      </c>
      <c r="AR35" s="279">
        <f t="shared" si="16"/>
        <v>93</v>
      </c>
      <c r="AS35" s="741">
        <v>24231</v>
      </c>
      <c r="AT35" s="294">
        <v>23087</v>
      </c>
      <c r="AU35" s="279">
        <f t="shared" si="17"/>
        <v>95.3</v>
      </c>
      <c r="AV35" s="286">
        <v>23076</v>
      </c>
      <c r="AW35" s="279">
        <f t="shared" si="18"/>
        <v>95.2</v>
      </c>
      <c r="AX35" s="287">
        <v>22937</v>
      </c>
      <c r="AY35" s="2011">
        <f t="shared" si="19"/>
        <v>94.7</v>
      </c>
      <c r="AZ35" s="2022">
        <v>246441</v>
      </c>
      <c r="BA35" s="2023">
        <v>51298</v>
      </c>
      <c r="BB35" s="2014">
        <f t="shared" si="20"/>
        <v>20.815529883420371</v>
      </c>
    </row>
    <row r="36" spans="1:54" ht="17.100000000000001" customHeight="1" x14ac:dyDescent="0.2">
      <c r="A36" s="636" t="s">
        <v>275</v>
      </c>
      <c r="B36" s="297" t="s">
        <v>31</v>
      </c>
      <c r="C36" s="739">
        <v>6627</v>
      </c>
      <c r="D36" s="286">
        <v>5878</v>
      </c>
      <c r="E36" s="279">
        <f t="shared" si="0"/>
        <v>88.7</v>
      </c>
      <c r="F36" s="287">
        <v>5565</v>
      </c>
      <c r="G36" s="279">
        <f t="shared" si="1"/>
        <v>84</v>
      </c>
      <c r="H36" s="288">
        <v>5697</v>
      </c>
      <c r="I36" s="279">
        <f t="shared" si="2"/>
        <v>86</v>
      </c>
      <c r="J36" s="288">
        <v>5879</v>
      </c>
      <c r="K36" s="279">
        <f t="shared" si="3"/>
        <v>88.7</v>
      </c>
      <c r="L36" s="286">
        <v>5180</v>
      </c>
      <c r="M36" s="279">
        <f t="shared" si="4"/>
        <v>78.2</v>
      </c>
      <c r="N36" s="289">
        <v>4721</v>
      </c>
      <c r="O36" s="279">
        <f t="shared" si="5"/>
        <v>71.2</v>
      </c>
      <c r="P36" s="287">
        <v>5881</v>
      </c>
      <c r="Q36" s="279">
        <f t="shared" si="6"/>
        <v>88.7</v>
      </c>
      <c r="R36" s="287">
        <v>5879</v>
      </c>
      <c r="S36" s="279">
        <f t="shared" si="7"/>
        <v>88.7</v>
      </c>
      <c r="T36" s="286">
        <v>5282</v>
      </c>
      <c r="U36" s="279">
        <f t="shared" si="21"/>
        <v>79.7</v>
      </c>
      <c r="V36" s="288">
        <v>5434</v>
      </c>
      <c r="W36" s="279">
        <f t="shared" si="8"/>
        <v>82</v>
      </c>
      <c r="X36" s="290">
        <v>2289</v>
      </c>
      <c r="Y36" s="279">
        <f t="shared" si="9"/>
        <v>34.540516070620193</v>
      </c>
      <c r="Z36" s="740">
        <v>6609</v>
      </c>
      <c r="AA36" s="291">
        <v>5976</v>
      </c>
      <c r="AB36" s="279">
        <f t="shared" si="10"/>
        <v>90.4</v>
      </c>
      <c r="AC36" s="286">
        <v>5979</v>
      </c>
      <c r="AD36" s="279">
        <f t="shared" si="11"/>
        <v>90.5</v>
      </c>
      <c r="AE36" s="287">
        <v>5579</v>
      </c>
      <c r="AF36" s="279">
        <f t="shared" si="12"/>
        <v>84.2</v>
      </c>
      <c r="AG36" s="288">
        <v>5726</v>
      </c>
      <c r="AH36" s="279">
        <f t="shared" si="13"/>
        <v>86.4</v>
      </c>
      <c r="AI36" s="288">
        <v>5747</v>
      </c>
      <c r="AJ36" s="279">
        <f t="shared" si="14"/>
        <v>87</v>
      </c>
      <c r="AK36" s="288">
        <v>102</v>
      </c>
      <c r="AL36" s="292">
        <f t="shared" si="22"/>
        <v>1.5433499773036767</v>
      </c>
      <c r="AM36" s="288">
        <v>104</v>
      </c>
      <c r="AN36" s="293">
        <v>57</v>
      </c>
      <c r="AO36" s="287">
        <v>5800</v>
      </c>
      <c r="AP36" s="279">
        <f t="shared" si="15"/>
        <v>87.8</v>
      </c>
      <c r="AQ36" s="287">
        <v>5800</v>
      </c>
      <c r="AR36" s="279">
        <f t="shared" si="16"/>
        <v>87.8</v>
      </c>
      <c r="AS36" s="741">
        <v>6573</v>
      </c>
      <c r="AT36" s="294">
        <v>6256</v>
      </c>
      <c r="AU36" s="279">
        <f t="shared" si="17"/>
        <v>95.2</v>
      </c>
      <c r="AV36" s="286">
        <v>6256</v>
      </c>
      <c r="AW36" s="279">
        <f t="shared" si="18"/>
        <v>95.2</v>
      </c>
      <c r="AX36" s="287">
        <v>6282</v>
      </c>
      <c r="AY36" s="2011">
        <f t="shared" si="19"/>
        <v>95.6</v>
      </c>
      <c r="AZ36" s="2022">
        <v>44413</v>
      </c>
      <c r="BA36" s="2023">
        <v>10743</v>
      </c>
      <c r="BB36" s="2014">
        <f t="shared" si="20"/>
        <v>24.188863621011865</v>
      </c>
    </row>
    <row r="37" spans="1:54" ht="17.100000000000001" customHeight="1" x14ac:dyDescent="0.2">
      <c r="A37" s="631" t="s">
        <v>276</v>
      </c>
      <c r="B37" s="295" t="s">
        <v>205</v>
      </c>
      <c r="C37" s="739">
        <v>6958</v>
      </c>
      <c r="D37" s="286">
        <v>6368</v>
      </c>
      <c r="E37" s="279">
        <f t="shared" si="0"/>
        <v>91.5</v>
      </c>
      <c r="F37" s="287">
        <v>5856</v>
      </c>
      <c r="G37" s="279">
        <f t="shared" si="1"/>
        <v>84.2</v>
      </c>
      <c r="H37" s="288">
        <v>5966</v>
      </c>
      <c r="I37" s="279">
        <f t="shared" si="2"/>
        <v>85.7</v>
      </c>
      <c r="J37" s="288">
        <v>6365</v>
      </c>
      <c r="K37" s="279">
        <f t="shared" si="3"/>
        <v>91.5</v>
      </c>
      <c r="L37" s="286">
        <v>6145</v>
      </c>
      <c r="M37" s="279">
        <f t="shared" si="4"/>
        <v>88.3</v>
      </c>
      <c r="N37" s="289">
        <v>6056</v>
      </c>
      <c r="O37" s="279">
        <f t="shared" si="5"/>
        <v>87</v>
      </c>
      <c r="P37" s="287">
        <v>6371</v>
      </c>
      <c r="Q37" s="279">
        <f t="shared" si="6"/>
        <v>91.6</v>
      </c>
      <c r="R37" s="287">
        <v>6363</v>
      </c>
      <c r="S37" s="279">
        <f t="shared" si="7"/>
        <v>91.4</v>
      </c>
      <c r="T37" s="286">
        <v>5834</v>
      </c>
      <c r="U37" s="279">
        <f t="shared" si="21"/>
        <v>83.8</v>
      </c>
      <c r="V37" s="288">
        <v>5929</v>
      </c>
      <c r="W37" s="279">
        <f t="shared" si="8"/>
        <v>85.2</v>
      </c>
      <c r="X37" s="290">
        <v>2566</v>
      </c>
      <c r="Y37" s="279">
        <f t="shared" si="9"/>
        <v>36.878413337165853</v>
      </c>
      <c r="Z37" s="740">
        <v>6939</v>
      </c>
      <c r="AA37" s="291">
        <v>6587</v>
      </c>
      <c r="AB37" s="279">
        <f t="shared" si="10"/>
        <v>94.9</v>
      </c>
      <c r="AC37" s="286">
        <v>6617</v>
      </c>
      <c r="AD37" s="279">
        <f t="shared" si="11"/>
        <v>95.4</v>
      </c>
      <c r="AE37" s="287">
        <v>5878</v>
      </c>
      <c r="AF37" s="279">
        <f t="shared" si="12"/>
        <v>84.5</v>
      </c>
      <c r="AG37" s="288">
        <v>5402</v>
      </c>
      <c r="AH37" s="279">
        <f t="shared" si="13"/>
        <v>77.599999999999994</v>
      </c>
      <c r="AI37" s="288">
        <v>6332</v>
      </c>
      <c r="AJ37" s="279">
        <f t="shared" si="14"/>
        <v>91.3</v>
      </c>
      <c r="AK37" s="288">
        <v>2</v>
      </c>
      <c r="AL37" s="292">
        <f t="shared" si="22"/>
        <v>2.8822596915982133E-2</v>
      </c>
      <c r="AM37" s="288">
        <v>1</v>
      </c>
      <c r="AN37" s="293">
        <v>9</v>
      </c>
      <c r="AO37" s="287">
        <v>6231</v>
      </c>
      <c r="AP37" s="279">
        <f t="shared" si="15"/>
        <v>89.8</v>
      </c>
      <c r="AQ37" s="287">
        <v>6227</v>
      </c>
      <c r="AR37" s="279">
        <f t="shared" si="16"/>
        <v>89.7</v>
      </c>
      <c r="AS37" s="741">
        <v>7049</v>
      </c>
      <c r="AT37" s="294">
        <v>6817</v>
      </c>
      <c r="AU37" s="279">
        <f t="shared" si="17"/>
        <v>96.7</v>
      </c>
      <c r="AV37" s="286">
        <v>6818</v>
      </c>
      <c r="AW37" s="279">
        <f t="shared" si="18"/>
        <v>96.7</v>
      </c>
      <c r="AX37" s="287">
        <v>6826</v>
      </c>
      <c r="AY37" s="2011">
        <f t="shared" si="19"/>
        <v>96.8</v>
      </c>
      <c r="AZ37" s="2022">
        <v>134108</v>
      </c>
      <c r="BA37" s="2023">
        <v>26797</v>
      </c>
      <c r="BB37" s="2014">
        <f t="shared" si="20"/>
        <v>19.981656575297521</v>
      </c>
    </row>
    <row r="38" spans="1:54" ht="17.100000000000001" customHeight="1" x14ac:dyDescent="0.2">
      <c r="A38" s="631" t="s">
        <v>279</v>
      </c>
      <c r="B38" s="295" t="s">
        <v>33</v>
      </c>
      <c r="C38" s="739">
        <v>12710</v>
      </c>
      <c r="D38" s="286">
        <v>11552</v>
      </c>
      <c r="E38" s="279">
        <f t="shared" si="0"/>
        <v>90.9</v>
      </c>
      <c r="F38" s="287">
        <v>11584</v>
      </c>
      <c r="G38" s="279">
        <f t="shared" si="1"/>
        <v>91.1</v>
      </c>
      <c r="H38" s="288">
        <v>11490</v>
      </c>
      <c r="I38" s="279">
        <f t="shared" si="2"/>
        <v>90.4</v>
      </c>
      <c r="J38" s="288">
        <v>11573</v>
      </c>
      <c r="K38" s="279">
        <f t="shared" si="3"/>
        <v>91.1</v>
      </c>
      <c r="L38" s="286">
        <v>12242</v>
      </c>
      <c r="M38" s="279">
        <f t="shared" si="4"/>
        <v>96.3</v>
      </c>
      <c r="N38" s="289">
        <v>11907</v>
      </c>
      <c r="O38" s="279">
        <f t="shared" si="5"/>
        <v>93.7</v>
      </c>
      <c r="P38" s="287">
        <v>11569</v>
      </c>
      <c r="Q38" s="279">
        <f t="shared" si="6"/>
        <v>91</v>
      </c>
      <c r="R38" s="287">
        <v>11555</v>
      </c>
      <c r="S38" s="279">
        <f t="shared" si="7"/>
        <v>90.9</v>
      </c>
      <c r="T38" s="286">
        <v>11337</v>
      </c>
      <c r="U38" s="279">
        <f t="shared" si="21"/>
        <v>89.2</v>
      </c>
      <c r="V38" s="288">
        <v>11106</v>
      </c>
      <c r="W38" s="279">
        <f t="shared" si="8"/>
        <v>87.4</v>
      </c>
      <c r="X38" s="290">
        <v>4386</v>
      </c>
      <c r="Y38" s="279">
        <f t="shared" si="9"/>
        <v>34.508261211644374</v>
      </c>
      <c r="Z38" s="740">
        <v>12627</v>
      </c>
      <c r="AA38" s="291">
        <v>11670</v>
      </c>
      <c r="AB38" s="279">
        <f t="shared" si="10"/>
        <v>92.4</v>
      </c>
      <c r="AC38" s="286">
        <v>10967</v>
      </c>
      <c r="AD38" s="279">
        <f t="shared" si="11"/>
        <v>86.9</v>
      </c>
      <c r="AE38" s="287">
        <v>11579</v>
      </c>
      <c r="AF38" s="279">
        <f t="shared" si="12"/>
        <v>91.1</v>
      </c>
      <c r="AG38" s="288">
        <v>11543</v>
      </c>
      <c r="AH38" s="279">
        <f t="shared" si="13"/>
        <v>90.8</v>
      </c>
      <c r="AI38" s="288">
        <v>11067</v>
      </c>
      <c r="AJ38" s="279">
        <f t="shared" si="14"/>
        <v>87.6</v>
      </c>
      <c r="AK38" s="288">
        <v>134</v>
      </c>
      <c r="AL38" s="292">
        <f t="shared" si="22"/>
        <v>1.0612180248673477</v>
      </c>
      <c r="AM38" s="288">
        <v>113</v>
      </c>
      <c r="AN38" s="293">
        <v>204</v>
      </c>
      <c r="AO38" s="299">
        <v>11608</v>
      </c>
      <c r="AP38" s="279">
        <f t="shared" si="15"/>
        <v>91.9</v>
      </c>
      <c r="AQ38" s="287">
        <v>11609</v>
      </c>
      <c r="AR38" s="279">
        <f t="shared" si="16"/>
        <v>91.9</v>
      </c>
      <c r="AS38" s="741">
        <v>12532</v>
      </c>
      <c r="AT38" s="300">
        <v>12454</v>
      </c>
      <c r="AU38" s="279">
        <f t="shared" si="17"/>
        <v>99.4</v>
      </c>
      <c r="AV38" s="286">
        <v>12460</v>
      </c>
      <c r="AW38" s="279">
        <f t="shared" si="18"/>
        <v>99.4</v>
      </c>
      <c r="AX38" s="287">
        <v>12261</v>
      </c>
      <c r="AY38" s="2011">
        <f t="shared" si="19"/>
        <v>97.8</v>
      </c>
      <c r="AZ38" s="2022">
        <v>219173</v>
      </c>
      <c r="BA38" s="2023">
        <v>49023</v>
      </c>
      <c r="BB38" s="2014">
        <f t="shared" si="20"/>
        <v>22.367262390896688</v>
      </c>
    </row>
    <row r="39" spans="1:54" ht="17.100000000000001" customHeight="1" x14ac:dyDescent="0.2">
      <c r="A39" s="631" t="s">
        <v>278</v>
      </c>
      <c r="B39" s="295" t="s">
        <v>126</v>
      </c>
      <c r="C39" s="739">
        <v>885</v>
      </c>
      <c r="D39" s="286">
        <v>854</v>
      </c>
      <c r="E39" s="279">
        <f t="shared" si="0"/>
        <v>96.5</v>
      </c>
      <c r="F39" s="287">
        <v>834</v>
      </c>
      <c r="G39" s="279">
        <f t="shared" si="1"/>
        <v>94.2</v>
      </c>
      <c r="H39" s="288">
        <v>873</v>
      </c>
      <c r="I39" s="279">
        <f t="shared" si="2"/>
        <v>98.6</v>
      </c>
      <c r="J39" s="288">
        <v>830</v>
      </c>
      <c r="K39" s="279">
        <f t="shared" si="3"/>
        <v>93.8</v>
      </c>
      <c r="L39" s="286">
        <v>809</v>
      </c>
      <c r="M39" s="279">
        <f t="shared" si="4"/>
        <v>91.4</v>
      </c>
      <c r="N39" s="289">
        <v>792</v>
      </c>
      <c r="O39" s="279">
        <f t="shared" si="5"/>
        <v>89.5</v>
      </c>
      <c r="P39" s="287">
        <v>828</v>
      </c>
      <c r="Q39" s="279">
        <f t="shared" si="6"/>
        <v>93.6</v>
      </c>
      <c r="R39" s="287">
        <v>824</v>
      </c>
      <c r="S39" s="279">
        <f t="shared" si="7"/>
        <v>93.1</v>
      </c>
      <c r="T39" s="286">
        <v>817</v>
      </c>
      <c r="U39" s="279">
        <f t="shared" si="21"/>
        <v>92.3</v>
      </c>
      <c r="V39" s="288">
        <v>808</v>
      </c>
      <c r="W39" s="279">
        <f t="shared" si="8"/>
        <v>91.3</v>
      </c>
      <c r="X39" s="290">
        <v>395</v>
      </c>
      <c r="Y39" s="279">
        <f t="shared" si="9"/>
        <v>44.632768361581924</v>
      </c>
      <c r="Z39" s="740">
        <v>880</v>
      </c>
      <c r="AA39" s="291">
        <v>833</v>
      </c>
      <c r="AB39" s="279">
        <f t="shared" si="10"/>
        <v>94.7</v>
      </c>
      <c r="AC39" s="286">
        <v>812</v>
      </c>
      <c r="AD39" s="279">
        <f t="shared" si="11"/>
        <v>92.3</v>
      </c>
      <c r="AE39" s="287">
        <v>851</v>
      </c>
      <c r="AF39" s="279">
        <f t="shared" si="12"/>
        <v>96.2</v>
      </c>
      <c r="AG39" s="288">
        <v>858</v>
      </c>
      <c r="AH39" s="279">
        <f t="shared" si="13"/>
        <v>96.9</v>
      </c>
      <c r="AI39" s="288">
        <v>773</v>
      </c>
      <c r="AJ39" s="279">
        <f t="shared" si="14"/>
        <v>87.8</v>
      </c>
      <c r="AK39" s="288">
        <v>14</v>
      </c>
      <c r="AL39" s="292">
        <f t="shared" si="22"/>
        <v>1.5909090909090908</v>
      </c>
      <c r="AM39" s="288">
        <v>5</v>
      </c>
      <c r="AN39" s="293">
        <v>3</v>
      </c>
      <c r="AO39" s="287">
        <v>899</v>
      </c>
      <c r="AP39" s="279">
        <f t="shared" si="15"/>
        <v>102.2</v>
      </c>
      <c r="AQ39" s="287">
        <v>911</v>
      </c>
      <c r="AR39" s="279">
        <f t="shared" si="16"/>
        <v>103.5</v>
      </c>
      <c r="AS39" s="741">
        <v>865</v>
      </c>
      <c r="AT39" s="294">
        <v>854</v>
      </c>
      <c r="AU39" s="279">
        <f t="shared" si="17"/>
        <v>98.7</v>
      </c>
      <c r="AV39" s="286">
        <v>867</v>
      </c>
      <c r="AW39" s="279">
        <f t="shared" si="18"/>
        <v>100.2</v>
      </c>
      <c r="AX39" s="287">
        <v>851</v>
      </c>
      <c r="AY39" s="2011">
        <f t="shared" si="19"/>
        <v>98.4</v>
      </c>
      <c r="AZ39" s="2022">
        <v>15628</v>
      </c>
      <c r="BA39" s="2023">
        <v>1122</v>
      </c>
      <c r="BB39" s="2014">
        <f t="shared" si="20"/>
        <v>7.1794215510621955</v>
      </c>
    </row>
    <row r="40" spans="1:54" ht="17.100000000000001" customHeight="1" x14ac:dyDescent="0.2">
      <c r="A40" s="631" t="s">
        <v>277</v>
      </c>
      <c r="B40" s="295" t="s">
        <v>35</v>
      </c>
      <c r="C40" s="739">
        <v>34163</v>
      </c>
      <c r="D40" s="286">
        <v>33241</v>
      </c>
      <c r="E40" s="279">
        <f t="shared" si="0"/>
        <v>97.3</v>
      </c>
      <c r="F40" s="287">
        <v>31048</v>
      </c>
      <c r="G40" s="279">
        <f t="shared" si="1"/>
        <v>90.9</v>
      </c>
      <c r="H40" s="288">
        <v>32613</v>
      </c>
      <c r="I40" s="279">
        <f t="shared" si="2"/>
        <v>95.5</v>
      </c>
      <c r="J40" s="288">
        <v>33229</v>
      </c>
      <c r="K40" s="279">
        <f t="shared" si="3"/>
        <v>97.3</v>
      </c>
      <c r="L40" s="286">
        <v>33988</v>
      </c>
      <c r="M40" s="279">
        <f t="shared" si="4"/>
        <v>99.5</v>
      </c>
      <c r="N40" s="289">
        <v>32327</v>
      </c>
      <c r="O40" s="279">
        <f t="shared" si="5"/>
        <v>94.6</v>
      </c>
      <c r="P40" s="287">
        <v>33288</v>
      </c>
      <c r="Q40" s="279">
        <f t="shared" si="6"/>
        <v>97.4</v>
      </c>
      <c r="R40" s="287">
        <v>33232</v>
      </c>
      <c r="S40" s="279">
        <f t="shared" si="7"/>
        <v>97.3</v>
      </c>
      <c r="T40" s="286">
        <v>30910</v>
      </c>
      <c r="U40" s="279">
        <f t="shared" si="21"/>
        <v>90.5</v>
      </c>
      <c r="V40" s="288">
        <v>33162</v>
      </c>
      <c r="W40" s="279">
        <f t="shared" si="8"/>
        <v>97.1</v>
      </c>
      <c r="X40" s="290">
        <v>9124</v>
      </c>
      <c r="Y40" s="279">
        <f t="shared" si="9"/>
        <v>26.707256388490475</v>
      </c>
      <c r="Z40" s="740">
        <v>33842</v>
      </c>
      <c r="AA40" s="291">
        <v>32617</v>
      </c>
      <c r="AB40" s="279">
        <f t="shared" si="10"/>
        <v>96.4</v>
      </c>
      <c r="AC40" s="286">
        <v>32618</v>
      </c>
      <c r="AD40" s="279">
        <f t="shared" si="11"/>
        <v>96.4</v>
      </c>
      <c r="AE40" s="287">
        <v>31715</v>
      </c>
      <c r="AF40" s="279">
        <f t="shared" si="12"/>
        <v>92.8</v>
      </c>
      <c r="AG40" s="288">
        <v>33989</v>
      </c>
      <c r="AH40" s="279">
        <f t="shared" si="13"/>
        <v>99.5</v>
      </c>
      <c r="AI40" s="288">
        <v>24225</v>
      </c>
      <c r="AJ40" s="279">
        <f t="shared" si="14"/>
        <v>71.599999999999994</v>
      </c>
      <c r="AK40" s="288">
        <v>1431</v>
      </c>
      <c r="AL40" s="292">
        <f t="shared" si="22"/>
        <v>4.2284734944743221</v>
      </c>
      <c r="AM40" s="288">
        <v>520</v>
      </c>
      <c r="AN40" s="293">
        <v>703</v>
      </c>
      <c r="AO40" s="287">
        <v>27762</v>
      </c>
      <c r="AP40" s="279">
        <f t="shared" si="15"/>
        <v>82</v>
      </c>
      <c r="AQ40" s="287">
        <v>27753</v>
      </c>
      <c r="AR40" s="279">
        <f t="shared" si="16"/>
        <v>82</v>
      </c>
      <c r="AS40" s="741">
        <v>33332</v>
      </c>
      <c r="AT40" s="294">
        <v>27334</v>
      </c>
      <c r="AU40" s="279">
        <f t="shared" si="17"/>
        <v>82</v>
      </c>
      <c r="AV40" s="286">
        <v>27381</v>
      </c>
      <c r="AW40" s="279">
        <f t="shared" si="18"/>
        <v>82.1</v>
      </c>
      <c r="AX40" s="287">
        <v>27802</v>
      </c>
      <c r="AY40" s="2011">
        <f t="shared" si="19"/>
        <v>83.4</v>
      </c>
      <c r="AZ40" s="2022">
        <v>430385</v>
      </c>
      <c r="BA40" s="2023">
        <v>70982</v>
      </c>
      <c r="BB40" s="2014">
        <f t="shared" si="20"/>
        <v>16.492675162935512</v>
      </c>
    </row>
    <row r="41" spans="1:54" ht="17.100000000000001" customHeight="1" x14ac:dyDescent="0.2">
      <c r="A41" s="631" t="s">
        <v>280</v>
      </c>
      <c r="B41" s="295" t="s">
        <v>36</v>
      </c>
      <c r="C41" s="739">
        <v>17967</v>
      </c>
      <c r="D41" s="286">
        <v>15865</v>
      </c>
      <c r="E41" s="279">
        <f t="shared" si="0"/>
        <v>88.3</v>
      </c>
      <c r="F41" s="287">
        <v>16227</v>
      </c>
      <c r="G41" s="279">
        <f t="shared" si="1"/>
        <v>90.3</v>
      </c>
      <c r="H41" s="288">
        <v>15980</v>
      </c>
      <c r="I41" s="279">
        <f t="shared" si="2"/>
        <v>88.9</v>
      </c>
      <c r="J41" s="288">
        <v>15862</v>
      </c>
      <c r="K41" s="279">
        <f t="shared" si="3"/>
        <v>88.3</v>
      </c>
      <c r="L41" s="286">
        <v>15313</v>
      </c>
      <c r="M41" s="279">
        <f t="shared" si="4"/>
        <v>85.2</v>
      </c>
      <c r="N41" s="289">
        <v>14562</v>
      </c>
      <c r="O41" s="279">
        <f t="shared" si="5"/>
        <v>81</v>
      </c>
      <c r="P41" s="287">
        <v>15862</v>
      </c>
      <c r="Q41" s="279">
        <f t="shared" si="6"/>
        <v>88.3</v>
      </c>
      <c r="R41" s="287">
        <v>15862</v>
      </c>
      <c r="S41" s="279">
        <f t="shared" si="7"/>
        <v>88.3</v>
      </c>
      <c r="T41" s="286">
        <v>15757</v>
      </c>
      <c r="U41" s="279">
        <f t="shared" si="21"/>
        <v>87.7</v>
      </c>
      <c r="V41" s="288">
        <v>15352</v>
      </c>
      <c r="W41" s="279">
        <f t="shared" si="8"/>
        <v>85.4</v>
      </c>
      <c r="X41" s="290">
        <v>7217</v>
      </c>
      <c r="Y41" s="279">
        <f t="shared" si="9"/>
        <v>40.168085935325877</v>
      </c>
      <c r="Z41" s="740">
        <v>17871</v>
      </c>
      <c r="AA41" s="291">
        <v>16070</v>
      </c>
      <c r="AB41" s="279">
        <f t="shared" si="10"/>
        <v>89.9</v>
      </c>
      <c r="AC41" s="286">
        <v>15664</v>
      </c>
      <c r="AD41" s="279">
        <f t="shared" si="11"/>
        <v>87.7</v>
      </c>
      <c r="AE41" s="287">
        <v>16265</v>
      </c>
      <c r="AF41" s="279">
        <f t="shared" si="12"/>
        <v>90.5</v>
      </c>
      <c r="AG41" s="288">
        <v>15943</v>
      </c>
      <c r="AH41" s="279">
        <f t="shared" si="13"/>
        <v>88.7</v>
      </c>
      <c r="AI41" s="288">
        <v>15777</v>
      </c>
      <c r="AJ41" s="279">
        <f t="shared" si="14"/>
        <v>88.3</v>
      </c>
      <c r="AK41" s="288">
        <v>135</v>
      </c>
      <c r="AL41" s="292">
        <f t="shared" si="22"/>
        <v>0.75541379889205984</v>
      </c>
      <c r="AM41" s="288">
        <v>131</v>
      </c>
      <c r="AN41" s="293">
        <v>78</v>
      </c>
      <c r="AO41" s="287">
        <v>15362</v>
      </c>
      <c r="AP41" s="279">
        <f t="shared" si="15"/>
        <v>86</v>
      </c>
      <c r="AQ41" s="287">
        <v>15362</v>
      </c>
      <c r="AR41" s="279">
        <f t="shared" si="16"/>
        <v>86</v>
      </c>
      <c r="AS41" s="741">
        <v>17616</v>
      </c>
      <c r="AT41" s="294">
        <v>15837</v>
      </c>
      <c r="AU41" s="279">
        <f t="shared" si="17"/>
        <v>89.9</v>
      </c>
      <c r="AV41" s="286">
        <v>15837</v>
      </c>
      <c r="AW41" s="279">
        <f t="shared" si="18"/>
        <v>89.9</v>
      </c>
      <c r="AX41" s="287">
        <v>15914</v>
      </c>
      <c r="AY41" s="2011">
        <f t="shared" si="19"/>
        <v>90.3</v>
      </c>
      <c r="AZ41" s="2022">
        <v>152086</v>
      </c>
      <c r="BA41" s="2023">
        <v>29560</v>
      </c>
      <c r="BB41" s="2014">
        <f t="shared" si="20"/>
        <v>19.436371526636247</v>
      </c>
    </row>
    <row r="42" spans="1:54" ht="17.100000000000001" customHeight="1" x14ac:dyDescent="0.2">
      <c r="A42" s="631" t="s">
        <v>281</v>
      </c>
      <c r="B42" s="295" t="s">
        <v>37</v>
      </c>
      <c r="C42" s="739">
        <v>21891</v>
      </c>
      <c r="D42" s="286">
        <v>20224</v>
      </c>
      <c r="E42" s="279">
        <f t="shared" si="0"/>
        <v>92.4</v>
      </c>
      <c r="F42" s="287">
        <v>19610</v>
      </c>
      <c r="G42" s="279">
        <f t="shared" si="1"/>
        <v>89.6</v>
      </c>
      <c r="H42" s="288">
        <v>19783</v>
      </c>
      <c r="I42" s="279">
        <f t="shared" si="2"/>
        <v>90.4</v>
      </c>
      <c r="J42" s="288">
        <v>20213</v>
      </c>
      <c r="K42" s="279">
        <f t="shared" si="3"/>
        <v>92.3</v>
      </c>
      <c r="L42" s="286">
        <v>19619</v>
      </c>
      <c r="M42" s="279">
        <f t="shared" si="4"/>
        <v>89.6</v>
      </c>
      <c r="N42" s="289">
        <v>18672</v>
      </c>
      <c r="O42" s="279">
        <f t="shared" si="5"/>
        <v>85.3</v>
      </c>
      <c r="P42" s="287">
        <v>20237</v>
      </c>
      <c r="Q42" s="279">
        <f t="shared" si="6"/>
        <v>92.4</v>
      </c>
      <c r="R42" s="287">
        <v>20203</v>
      </c>
      <c r="S42" s="279">
        <f t="shared" si="7"/>
        <v>92.3</v>
      </c>
      <c r="T42" s="286">
        <v>19372</v>
      </c>
      <c r="U42" s="279">
        <f t="shared" si="21"/>
        <v>88.5</v>
      </c>
      <c r="V42" s="288">
        <v>19506</v>
      </c>
      <c r="W42" s="279">
        <f t="shared" si="8"/>
        <v>89.1</v>
      </c>
      <c r="X42" s="290">
        <v>8497</v>
      </c>
      <c r="Y42" s="279">
        <f t="shared" si="9"/>
        <v>38.815038143529307</v>
      </c>
      <c r="Z42" s="740">
        <v>22054</v>
      </c>
      <c r="AA42" s="291">
        <v>20853</v>
      </c>
      <c r="AB42" s="279">
        <f t="shared" si="10"/>
        <v>94.6</v>
      </c>
      <c r="AC42" s="286">
        <v>20385</v>
      </c>
      <c r="AD42" s="279">
        <f t="shared" si="11"/>
        <v>92.4</v>
      </c>
      <c r="AE42" s="287">
        <v>19606</v>
      </c>
      <c r="AF42" s="279">
        <f t="shared" si="12"/>
        <v>89.6</v>
      </c>
      <c r="AG42" s="288">
        <v>19878</v>
      </c>
      <c r="AH42" s="279">
        <f t="shared" si="13"/>
        <v>90.8</v>
      </c>
      <c r="AI42" s="288">
        <v>19094</v>
      </c>
      <c r="AJ42" s="279">
        <f t="shared" si="14"/>
        <v>86.6</v>
      </c>
      <c r="AK42" s="288">
        <v>497</v>
      </c>
      <c r="AL42" s="292">
        <f t="shared" si="22"/>
        <v>2.2535594449986398</v>
      </c>
      <c r="AM42" s="288">
        <v>289</v>
      </c>
      <c r="AN42" s="293">
        <v>867</v>
      </c>
      <c r="AO42" s="287">
        <v>20420</v>
      </c>
      <c r="AP42" s="279">
        <f t="shared" si="15"/>
        <v>92.6</v>
      </c>
      <c r="AQ42" s="287">
        <v>20394</v>
      </c>
      <c r="AR42" s="279">
        <f t="shared" si="16"/>
        <v>92.5</v>
      </c>
      <c r="AS42" s="741">
        <v>22208</v>
      </c>
      <c r="AT42" s="294">
        <v>21244</v>
      </c>
      <c r="AU42" s="279">
        <f t="shared" si="17"/>
        <v>95.7</v>
      </c>
      <c r="AV42" s="286">
        <v>21175</v>
      </c>
      <c r="AW42" s="279">
        <f t="shared" si="18"/>
        <v>95.3</v>
      </c>
      <c r="AX42" s="287">
        <v>20826</v>
      </c>
      <c r="AY42" s="2011">
        <f t="shared" si="19"/>
        <v>93.8</v>
      </c>
      <c r="AZ42" s="2022">
        <v>316208</v>
      </c>
      <c r="BA42" s="2023">
        <v>49820</v>
      </c>
      <c r="BB42" s="2014">
        <f t="shared" si="20"/>
        <v>15.755452107473561</v>
      </c>
    </row>
    <row r="43" spans="1:54" ht="17.100000000000001" customHeight="1" x14ac:dyDescent="0.2">
      <c r="A43" s="636" t="s">
        <v>282</v>
      </c>
      <c r="B43" s="297" t="s">
        <v>38</v>
      </c>
      <c r="C43" s="739">
        <v>70770</v>
      </c>
      <c r="D43" s="286">
        <v>70228</v>
      </c>
      <c r="E43" s="279">
        <f t="shared" si="0"/>
        <v>99.2</v>
      </c>
      <c r="F43" s="287">
        <v>68865</v>
      </c>
      <c r="G43" s="279">
        <f t="shared" si="1"/>
        <v>97.3</v>
      </c>
      <c r="H43" s="288">
        <v>68093</v>
      </c>
      <c r="I43" s="279">
        <f t="shared" si="2"/>
        <v>96.2</v>
      </c>
      <c r="J43" s="288">
        <v>70253</v>
      </c>
      <c r="K43" s="279">
        <f t="shared" si="3"/>
        <v>99.3</v>
      </c>
      <c r="L43" s="286">
        <v>63183</v>
      </c>
      <c r="M43" s="279">
        <f t="shared" si="4"/>
        <v>89.3</v>
      </c>
      <c r="N43" s="289">
        <v>59224</v>
      </c>
      <c r="O43" s="279">
        <f t="shared" si="5"/>
        <v>83.7</v>
      </c>
      <c r="P43" s="287">
        <v>70328</v>
      </c>
      <c r="Q43" s="279">
        <f t="shared" si="6"/>
        <v>99.4</v>
      </c>
      <c r="R43" s="287">
        <v>70239</v>
      </c>
      <c r="S43" s="279">
        <f t="shared" si="7"/>
        <v>99.2</v>
      </c>
      <c r="T43" s="286">
        <v>63394</v>
      </c>
      <c r="U43" s="279">
        <f t="shared" si="21"/>
        <v>89.6</v>
      </c>
      <c r="V43" s="288">
        <v>63780</v>
      </c>
      <c r="W43" s="279">
        <f t="shared" si="8"/>
        <v>90.1</v>
      </c>
      <c r="X43" s="290">
        <v>23299</v>
      </c>
      <c r="Y43" s="279">
        <f t="shared" si="9"/>
        <v>32.922142150628794</v>
      </c>
      <c r="Z43" s="740">
        <v>69974</v>
      </c>
      <c r="AA43" s="291">
        <v>69014</v>
      </c>
      <c r="AB43" s="279">
        <f t="shared" si="10"/>
        <v>98.6</v>
      </c>
      <c r="AC43" s="286">
        <v>68299</v>
      </c>
      <c r="AD43" s="279">
        <f t="shared" si="11"/>
        <v>97.6</v>
      </c>
      <c r="AE43" s="287">
        <v>64393</v>
      </c>
      <c r="AF43" s="279">
        <f t="shared" si="12"/>
        <v>91</v>
      </c>
      <c r="AG43" s="288">
        <v>64381</v>
      </c>
      <c r="AH43" s="279">
        <f t="shared" si="13"/>
        <v>91</v>
      </c>
      <c r="AI43" s="288">
        <v>57996</v>
      </c>
      <c r="AJ43" s="279">
        <f t="shared" si="14"/>
        <v>82.9</v>
      </c>
      <c r="AK43" s="288">
        <v>5511</v>
      </c>
      <c r="AL43" s="292">
        <f t="shared" si="22"/>
        <v>7.8757824334752913</v>
      </c>
      <c r="AM43" s="288">
        <v>5264</v>
      </c>
      <c r="AN43" s="293">
        <v>2486</v>
      </c>
      <c r="AO43" s="287">
        <v>66406</v>
      </c>
      <c r="AP43" s="279">
        <f t="shared" si="15"/>
        <v>94.9</v>
      </c>
      <c r="AQ43" s="287">
        <v>66803</v>
      </c>
      <c r="AR43" s="279">
        <f t="shared" si="16"/>
        <v>95.5</v>
      </c>
      <c r="AS43" s="741">
        <v>68719</v>
      </c>
      <c r="AT43" s="294">
        <v>67741</v>
      </c>
      <c r="AU43" s="279">
        <f t="shared" si="17"/>
        <v>98.6</v>
      </c>
      <c r="AV43" s="286">
        <v>68760</v>
      </c>
      <c r="AW43" s="279">
        <f t="shared" si="18"/>
        <v>100.1</v>
      </c>
      <c r="AX43" s="287">
        <v>62875</v>
      </c>
      <c r="AY43" s="2011">
        <f t="shared" si="19"/>
        <v>91.5</v>
      </c>
      <c r="AZ43" s="2022">
        <v>972181</v>
      </c>
      <c r="BA43" s="2023">
        <v>189798</v>
      </c>
      <c r="BB43" s="2014">
        <f t="shared" si="20"/>
        <v>19.522907771289503</v>
      </c>
    </row>
    <row r="44" spans="1:54" ht="17.100000000000001" customHeight="1" x14ac:dyDescent="0.2">
      <c r="A44" s="636" t="s">
        <v>283</v>
      </c>
      <c r="B44" s="297" t="s">
        <v>128</v>
      </c>
      <c r="C44" s="739">
        <v>1238</v>
      </c>
      <c r="D44" s="286">
        <v>768</v>
      </c>
      <c r="E44" s="279">
        <f t="shared" si="0"/>
        <v>62</v>
      </c>
      <c r="F44" s="287">
        <v>840</v>
      </c>
      <c r="G44" s="279">
        <f t="shared" si="1"/>
        <v>67.900000000000006</v>
      </c>
      <c r="H44" s="288">
        <v>787</v>
      </c>
      <c r="I44" s="279">
        <f t="shared" si="2"/>
        <v>63.6</v>
      </c>
      <c r="J44" s="288">
        <v>767</v>
      </c>
      <c r="K44" s="279">
        <f t="shared" si="3"/>
        <v>62</v>
      </c>
      <c r="L44" s="286">
        <v>781</v>
      </c>
      <c r="M44" s="279">
        <f t="shared" si="4"/>
        <v>63.1</v>
      </c>
      <c r="N44" s="289">
        <v>502</v>
      </c>
      <c r="O44" s="279">
        <f t="shared" si="5"/>
        <v>40.5</v>
      </c>
      <c r="P44" s="287">
        <v>770</v>
      </c>
      <c r="Q44" s="279">
        <f t="shared" si="6"/>
        <v>62.2</v>
      </c>
      <c r="R44" s="287">
        <v>767</v>
      </c>
      <c r="S44" s="279">
        <f t="shared" si="7"/>
        <v>62</v>
      </c>
      <c r="T44" s="286">
        <v>678</v>
      </c>
      <c r="U44" s="279">
        <f t="shared" si="21"/>
        <v>54.8</v>
      </c>
      <c r="V44" s="288">
        <v>563</v>
      </c>
      <c r="W44" s="279">
        <f t="shared" si="8"/>
        <v>45.5</v>
      </c>
      <c r="X44" s="290">
        <v>113</v>
      </c>
      <c r="Y44" s="279">
        <f t="shared" si="9"/>
        <v>9.1276252019386099</v>
      </c>
      <c r="Z44" s="740">
        <v>1213</v>
      </c>
      <c r="AA44" s="291">
        <v>846</v>
      </c>
      <c r="AB44" s="279">
        <f t="shared" si="10"/>
        <v>69.7</v>
      </c>
      <c r="AC44" s="286">
        <v>775</v>
      </c>
      <c r="AD44" s="279">
        <f t="shared" si="11"/>
        <v>63.9</v>
      </c>
      <c r="AE44" s="287">
        <v>954</v>
      </c>
      <c r="AF44" s="279">
        <f t="shared" si="12"/>
        <v>77.099999999999994</v>
      </c>
      <c r="AG44" s="288">
        <v>821</v>
      </c>
      <c r="AH44" s="279">
        <f t="shared" si="13"/>
        <v>66.3</v>
      </c>
      <c r="AI44" s="288">
        <v>693</v>
      </c>
      <c r="AJ44" s="279">
        <f t="shared" si="14"/>
        <v>57.1</v>
      </c>
      <c r="AK44" s="288">
        <v>86</v>
      </c>
      <c r="AL44" s="292">
        <f t="shared" si="22"/>
        <v>7.0898598516075841</v>
      </c>
      <c r="AM44" s="288">
        <v>105</v>
      </c>
      <c r="AN44" s="293">
        <v>76</v>
      </c>
      <c r="AO44" s="287">
        <v>769</v>
      </c>
      <c r="AP44" s="279">
        <f t="shared" si="15"/>
        <v>63.4</v>
      </c>
      <c r="AQ44" s="287">
        <v>788</v>
      </c>
      <c r="AR44" s="279">
        <f t="shared" si="16"/>
        <v>65</v>
      </c>
      <c r="AS44" s="741">
        <v>1135</v>
      </c>
      <c r="AT44" s="294">
        <v>541</v>
      </c>
      <c r="AU44" s="279">
        <f t="shared" si="17"/>
        <v>47.7</v>
      </c>
      <c r="AV44" s="286">
        <v>557</v>
      </c>
      <c r="AW44" s="279">
        <f t="shared" si="18"/>
        <v>49.1</v>
      </c>
      <c r="AX44" s="287">
        <v>540</v>
      </c>
      <c r="AY44" s="2011">
        <f t="shared" si="19"/>
        <v>47.6</v>
      </c>
      <c r="AZ44" s="2022">
        <v>5701</v>
      </c>
      <c r="BA44" s="2023">
        <v>904</v>
      </c>
      <c r="BB44" s="2014">
        <f t="shared" si="20"/>
        <v>15.856867216277845</v>
      </c>
    </row>
    <row r="45" spans="1:54" ht="17.100000000000001" customHeight="1" thickBot="1" x14ac:dyDescent="0.25">
      <c r="A45" s="639" t="s">
        <v>284</v>
      </c>
      <c r="B45" s="301" t="s">
        <v>40</v>
      </c>
      <c r="C45" s="742">
        <v>1979</v>
      </c>
      <c r="D45" s="302">
        <v>930</v>
      </c>
      <c r="E45" s="303">
        <f t="shared" si="0"/>
        <v>47</v>
      </c>
      <c r="F45" s="304">
        <v>1521</v>
      </c>
      <c r="G45" s="303">
        <f t="shared" si="1"/>
        <v>76.900000000000006</v>
      </c>
      <c r="H45" s="305">
        <v>1168</v>
      </c>
      <c r="I45" s="303">
        <f t="shared" si="2"/>
        <v>59</v>
      </c>
      <c r="J45" s="305">
        <v>933</v>
      </c>
      <c r="K45" s="303">
        <f t="shared" si="3"/>
        <v>47.1</v>
      </c>
      <c r="L45" s="302">
        <v>1227</v>
      </c>
      <c r="M45" s="303">
        <f t="shared" si="4"/>
        <v>62</v>
      </c>
      <c r="N45" s="289">
        <v>712</v>
      </c>
      <c r="O45" s="303">
        <f t="shared" si="5"/>
        <v>36</v>
      </c>
      <c r="P45" s="306">
        <v>931</v>
      </c>
      <c r="Q45" s="303">
        <f t="shared" si="6"/>
        <v>47</v>
      </c>
      <c r="R45" s="304">
        <v>936</v>
      </c>
      <c r="S45" s="303">
        <f t="shared" si="7"/>
        <v>47.3</v>
      </c>
      <c r="T45" s="302">
        <v>1057</v>
      </c>
      <c r="U45" s="279">
        <f t="shared" si="21"/>
        <v>53.4</v>
      </c>
      <c r="V45" s="307">
        <v>816</v>
      </c>
      <c r="W45" s="303">
        <f t="shared" si="8"/>
        <v>41.2</v>
      </c>
      <c r="X45" s="308">
        <v>359</v>
      </c>
      <c r="Y45" s="303">
        <f t="shared" si="9"/>
        <v>18.140474987367359</v>
      </c>
      <c r="Z45" s="740">
        <v>1947</v>
      </c>
      <c r="AA45" s="309">
        <v>1375</v>
      </c>
      <c r="AB45" s="303">
        <f t="shared" si="10"/>
        <v>70.599999999999994</v>
      </c>
      <c r="AC45" s="302">
        <v>1190</v>
      </c>
      <c r="AD45" s="303">
        <f t="shared" si="11"/>
        <v>61.1</v>
      </c>
      <c r="AE45" s="306">
        <v>1495</v>
      </c>
      <c r="AF45" s="303">
        <f t="shared" si="12"/>
        <v>75.5</v>
      </c>
      <c r="AG45" s="307">
        <v>1099</v>
      </c>
      <c r="AH45" s="303">
        <f t="shared" si="13"/>
        <v>55.5</v>
      </c>
      <c r="AI45" s="307">
        <v>850</v>
      </c>
      <c r="AJ45" s="303">
        <f t="shared" si="14"/>
        <v>43.7</v>
      </c>
      <c r="AK45" s="307">
        <v>286</v>
      </c>
      <c r="AL45" s="292">
        <f t="shared" si="22"/>
        <v>14.689265536723164</v>
      </c>
      <c r="AM45" s="307">
        <v>220</v>
      </c>
      <c r="AN45" s="310">
        <v>152</v>
      </c>
      <c r="AO45" s="306">
        <v>1348</v>
      </c>
      <c r="AP45" s="303">
        <f t="shared" si="15"/>
        <v>69.2</v>
      </c>
      <c r="AQ45" s="306">
        <v>1348</v>
      </c>
      <c r="AR45" s="303">
        <f t="shared" si="16"/>
        <v>69.2</v>
      </c>
      <c r="AS45" s="743">
        <v>1826</v>
      </c>
      <c r="AT45" s="311">
        <v>956</v>
      </c>
      <c r="AU45" s="303">
        <f t="shared" si="17"/>
        <v>52.4</v>
      </c>
      <c r="AV45" s="302">
        <v>988</v>
      </c>
      <c r="AW45" s="303">
        <f t="shared" si="18"/>
        <v>54.1</v>
      </c>
      <c r="AX45" s="304">
        <v>870</v>
      </c>
      <c r="AY45" s="2012">
        <f t="shared" si="19"/>
        <v>47.6</v>
      </c>
      <c r="AZ45" s="2024">
        <v>8682</v>
      </c>
      <c r="BA45" s="2025">
        <v>1638</v>
      </c>
      <c r="BB45" s="2018">
        <f t="shared" si="20"/>
        <v>18.866620594333103</v>
      </c>
    </row>
    <row r="46" spans="1:54" ht="20.100000000000001" customHeight="1" thickBot="1" x14ac:dyDescent="0.25">
      <c r="A46" s="744"/>
      <c r="B46" s="744" t="s">
        <v>41</v>
      </c>
      <c r="C46" s="745">
        <f>SUM(C10:C45)</f>
        <v>791411</v>
      </c>
      <c r="D46" s="746">
        <f>SUM(D10:D45)</f>
        <v>722721</v>
      </c>
      <c r="E46" s="747">
        <f t="shared" si="0"/>
        <v>91.3</v>
      </c>
      <c r="F46" s="748">
        <f>SUM(F10:F45)</f>
        <v>726359</v>
      </c>
      <c r="G46" s="747">
        <f t="shared" si="1"/>
        <v>91.8</v>
      </c>
      <c r="H46" s="748">
        <f>SUM(H10:H45)</f>
        <v>716619</v>
      </c>
      <c r="I46" s="747">
        <f t="shared" si="2"/>
        <v>90.5</v>
      </c>
      <c r="J46" s="748">
        <f>SUM(J10:J45)</f>
        <v>726324</v>
      </c>
      <c r="K46" s="747">
        <f t="shared" si="3"/>
        <v>91.8</v>
      </c>
      <c r="L46" s="748">
        <f>SUM(L10:L45)</f>
        <v>705269</v>
      </c>
      <c r="M46" s="747">
        <f t="shared" si="4"/>
        <v>89.1</v>
      </c>
      <c r="N46" s="748">
        <f>SUM(N10:N45)</f>
        <v>670481</v>
      </c>
      <c r="O46" s="747">
        <f t="shared" si="5"/>
        <v>84.7</v>
      </c>
      <c r="P46" s="746">
        <f>SUM(P10:P45)</f>
        <v>726813</v>
      </c>
      <c r="Q46" s="747">
        <f t="shared" si="6"/>
        <v>91.8</v>
      </c>
      <c r="R46" s="748">
        <f>SUM(R10:R45)</f>
        <v>724656</v>
      </c>
      <c r="S46" s="747">
        <f t="shared" si="7"/>
        <v>91.6</v>
      </c>
      <c r="T46" s="749">
        <f>SUM(T10:T45)</f>
        <v>698730</v>
      </c>
      <c r="U46" s="747">
        <f>ROUND(T46/C46*100,1)</f>
        <v>88.3</v>
      </c>
      <c r="V46" s="748">
        <f>SUM(V10:V45)</f>
        <v>689573</v>
      </c>
      <c r="W46" s="747">
        <f t="shared" si="8"/>
        <v>87.1</v>
      </c>
      <c r="X46" s="748">
        <f>SUM(X10:X45)</f>
        <v>262340</v>
      </c>
      <c r="Y46" s="747">
        <f t="shared" si="9"/>
        <v>33.148389395649033</v>
      </c>
      <c r="Z46" s="745">
        <f>SUM(Z10:Z45)</f>
        <v>788753</v>
      </c>
      <c r="AA46" s="749">
        <f>SUM(AA10:AA45)</f>
        <v>740123</v>
      </c>
      <c r="AB46" s="747">
        <f t="shared" si="10"/>
        <v>93.8</v>
      </c>
      <c r="AC46" s="746">
        <f>SUM(AC10:AC45)</f>
        <v>725170</v>
      </c>
      <c r="AD46" s="747">
        <f t="shared" si="11"/>
        <v>91.9</v>
      </c>
      <c r="AE46" s="749">
        <f>SUM(AE10:AE45)</f>
        <v>743145</v>
      </c>
      <c r="AF46" s="747">
        <f t="shared" si="12"/>
        <v>93.9</v>
      </c>
      <c r="AG46" s="748">
        <f>SUM(AG10:AG45)</f>
        <v>722070</v>
      </c>
      <c r="AH46" s="747">
        <f t="shared" si="13"/>
        <v>91.2</v>
      </c>
      <c r="AI46" s="748">
        <f>SUM(AI10:AI45)</f>
        <v>664823</v>
      </c>
      <c r="AJ46" s="747">
        <f t="shared" si="14"/>
        <v>84.3</v>
      </c>
      <c r="AK46" s="748">
        <f>SUM(AK10:AK45)</f>
        <v>30808</v>
      </c>
      <c r="AL46" s="747">
        <f>AK46/Z46*100</f>
        <v>3.9059122437569176</v>
      </c>
      <c r="AM46" s="748">
        <f>SUM(AM10:AM45)</f>
        <v>19642</v>
      </c>
      <c r="AN46" s="750">
        <f>SUM(AN10:AN45)</f>
        <v>15781</v>
      </c>
      <c r="AO46" s="751">
        <f>SUM(AO10:AO45)</f>
        <v>684739</v>
      </c>
      <c r="AP46" s="747">
        <f t="shared" si="15"/>
        <v>86.8</v>
      </c>
      <c r="AQ46" s="749">
        <f>SUM(AQ10:AQ45)</f>
        <v>681698</v>
      </c>
      <c r="AR46" s="747">
        <f t="shared" si="16"/>
        <v>86.4</v>
      </c>
      <c r="AS46" s="752">
        <f>SUM(AS10:AS45)</f>
        <v>781166</v>
      </c>
      <c r="AT46" s="748">
        <f>SUM(AT10:AT45)</f>
        <v>714392</v>
      </c>
      <c r="AU46" s="747">
        <f t="shared" si="17"/>
        <v>91.5</v>
      </c>
      <c r="AV46" s="748">
        <f>SUM(AV10:AV45)</f>
        <v>720246</v>
      </c>
      <c r="AW46" s="747">
        <f t="shared" si="18"/>
        <v>92.2</v>
      </c>
      <c r="AX46" s="748">
        <f>SUM(AX10:AX45)</f>
        <v>622564</v>
      </c>
      <c r="AY46" s="2013">
        <f t="shared" si="19"/>
        <v>79.7</v>
      </c>
      <c r="AZ46" s="2026">
        <f t="shared" ref="AZ46:BA46" si="23">SUM(AZ10:AZ45)</f>
        <v>9223236</v>
      </c>
      <c r="BA46" s="2027">
        <f t="shared" si="23"/>
        <v>1800042</v>
      </c>
      <c r="BB46" s="2019">
        <f>BA46/AZ46*100</f>
        <v>19.516382319611033</v>
      </c>
    </row>
    <row r="47" spans="1:54" x14ac:dyDescent="0.2">
      <c r="A47" s="753"/>
      <c r="B47" s="753" t="s">
        <v>227</v>
      </c>
      <c r="E47" s="754">
        <f>E46-$B$59</f>
        <v>-3.7000000000000028</v>
      </c>
      <c r="G47" s="754">
        <f>G46-$B$59</f>
        <v>-3.2000000000000028</v>
      </c>
      <c r="I47" s="754">
        <f>I46-$B$59</f>
        <v>-4.5</v>
      </c>
      <c r="K47" s="754">
        <f>K46-$B$59</f>
        <v>-3.2000000000000028</v>
      </c>
      <c r="M47" s="754">
        <f>M46-$B$59</f>
        <v>-5.9000000000000057</v>
      </c>
      <c r="N47" s="754"/>
      <c r="O47" s="754">
        <f>O46-$B$59</f>
        <v>-10.299999999999997</v>
      </c>
      <c r="Q47" s="754">
        <f>Q46-$B$59</f>
        <v>-3.2000000000000028</v>
      </c>
      <c r="S47" s="754">
        <f>S46-$B$59</f>
        <v>-3.4000000000000057</v>
      </c>
      <c r="U47" s="754">
        <f>U46-$B$59</f>
        <v>-6.7000000000000028</v>
      </c>
      <c r="W47" s="754">
        <f>W46-$B$59</f>
        <v>-7.9000000000000057</v>
      </c>
      <c r="X47" s="754"/>
      <c r="Y47" s="754"/>
      <c r="AB47" s="754">
        <f>AB46-$B$59</f>
        <v>-1.2000000000000028</v>
      </c>
      <c r="AD47" s="754">
        <f>AD46-$B$59</f>
        <v>-3.0999999999999943</v>
      </c>
      <c r="AF47" s="754">
        <f>AF46-$B$59</f>
        <v>-1.0999999999999943</v>
      </c>
      <c r="AH47" s="754">
        <f>AH46-$B$59</f>
        <v>-3.7999999999999972</v>
      </c>
      <c r="AJ47" s="754">
        <f>AJ46-$B$59</f>
        <v>-10.700000000000003</v>
      </c>
      <c r="AL47" s="754"/>
      <c r="AP47" s="754">
        <f>AP46-$B$59</f>
        <v>-8.2000000000000028</v>
      </c>
      <c r="AR47" s="754">
        <f>AR46-$B$59</f>
        <v>-8.5999999999999943</v>
      </c>
      <c r="AU47" s="754">
        <f>AU46-$B$59</f>
        <v>-3.5</v>
      </c>
      <c r="AW47" s="754">
        <f>AW46-$B$59</f>
        <v>-2.7999999999999972</v>
      </c>
      <c r="AY47" s="754">
        <f>AY46-$B$59</f>
        <v>-15.299999999999997</v>
      </c>
    </row>
    <row r="48" spans="1:54" x14ac:dyDescent="0.2">
      <c r="A48" s="753"/>
      <c r="B48" s="753" t="s">
        <v>228</v>
      </c>
      <c r="C48" s="755">
        <v>41284</v>
      </c>
      <c r="E48" s="753"/>
      <c r="F48" s="735" t="s">
        <v>229</v>
      </c>
      <c r="H48" s="756">
        <v>41418</v>
      </c>
    </row>
    <row r="49" spans="1:7" x14ac:dyDescent="0.2">
      <c r="A49" s="757"/>
      <c r="B49" s="758" t="s">
        <v>304</v>
      </c>
      <c r="C49" s="713">
        <v>41418</v>
      </c>
    </row>
    <row r="50" spans="1:7" x14ac:dyDescent="0.2">
      <c r="A50" s="759"/>
      <c r="B50" s="760" t="s">
        <v>223</v>
      </c>
      <c r="C50" s="761"/>
    </row>
    <row r="51" spans="1:7" x14ac:dyDescent="0.2">
      <c r="A51" s="759"/>
      <c r="B51" s="760" t="s">
        <v>222</v>
      </c>
      <c r="C51" s="762"/>
      <c r="E51" s="704"/>
    </row>
    <row r="52" spans="1:7" x14ac:dyDescent="0.2">
      <c r="A52" s="780"/>
      <c r="B52" s="763" t="s">
        <v>238</v>
      </c>
      <c r="C52" s="762"/>
    </row>
    <row r="53" spans="1:7" x14ac:dyDescent="0.2">
      <c r="A53" s="780"/>
      <c r="B53" s="764" t="s">
        <v>239</v>
      </c>
      <c r="C53" s="762"/>
    </row>
    <row r="54" spans="1:7" x14ac:dyDescent="0.2">
      <c r="A54" s="780"/>
      <c r="B54" s="765" t="s">
        <v>240</v>
      </c>
      <c r="C54" s="762"/>
      <c r="F54" s="766" t="s">
        <v>230</v>
      </c>
    </row>
    <row r="55" spans="1:7" ht="12.75" thickBot="1" x14ac:dyDescent="0.25">
      <c r="A55" s="780"/>
      <c r="B55" s="767" t="s">
        <v>241</v>
      </c>
      <c r="C55" s="768"/>
    </row>
    <row r="56" spans="1:7" ht="12.75" thickBot="1" x14ac:dyDescent="0.25">
      <c r="A56" s="780"/>
      <c r="B56" s="769" t="s">
        <v>242</v>
      </c>
      <c r="C56" s="768"/>
      <c r="E56" s="1902" t="s">
        <v>231</v>
      </c>
      <c r="F56" s="1903"/>
      <c r="G56" s="770">
        <f>E46</f>
        <v>91.3</v>
      </c>
    </row>
    <row r="57" spans="1:7" ht="12.75" thickBot="1" x14ac:dyDescent="0.25">
      <c r="A57" s="781"/>
      <c r="B57" s="771" t="s">
        <v>243</v>
      </c>
      <c r="E57" s="1904" t="s">
        <v>232</v>
      </c>
      <c r="F57" s="1905"/>
      <c r="G57" s="770">
        <f>K46</f>
        <v>91.8</v>
      </c>
    </row>
    <row r="58" spans="1:7" ht="12.75" thickBot="1" x14ac:dyDescent="0.25">
      <c r="A58" s="772"/>
      <c r="B58" s="288" t="s">
        <v>244</v>
      </c>
      <c r="E58" s="1897" t="s">
        <v>233</v>
      </c>
      <c r="F58" s="1898"/>
      <c r="G58" s="770">
        <f>M46</f>
        <v>89.1</v>
      </c>
    </row>
    <row r="59" spans="1:7" ht="12.75" thickBot="1" x14ac:dyDescent="0.25">
      <c r="A59" s="773"/>
      <c r="B59" s="774">
        <f>ROUND(7.92*12,1)</f>
        <v>95</v>
      </c>
      <c r="E59" s="1899" t="s">
        <v>234</v>
      </c>
      <c r="F59" s="1900"/>
      <c r="G59" s="770">
        <f>AB46</f>
        <v>93.8</v>
      </c>
    </row>
    <row r="60" spans="1:7" ht="12.75" thickBot="1" x14ac:dyDescent="0.25">
      <c r="E60" s="1901" t="s">
        <v>235</v>
      </c>
      <c r="F60" s="1901"/>
      <c r="G60" s="770">
        <f>AD46</f>
        <v>91.9</v>
      </c>
    </row>
    <row r="61" spans="1:7" ht="12.75" thickBot="1" x14ac:dyDescent="0.25">
      <c r="E61" s="1899" t="s">
        <v>236</v>
      </c>
      <c r="F61" s="1900"/>
      <c r="G61" s="775">
        <f>B59</f>
        <v>95</v>
      </c>
    </row>
  </sheetData>
  <autoFilter ref="AD9:AD60"/>
  <mergeCells count="6">
    <mergeCell ref="E58:F58"/>
    <mergeCell ref="E59:F59"/>
    <mergeCell ref="E60:F60"/>
    <mergeCell ref="E61:F61"/>
    <mergeCell ref="E56:F56"/>
    <mergeCell ref="E57:F57"/>
  </mergeCells>
  <conditionalFormatting sqref="AB10:AB46 AD10:AD46 AF10:AF46 AH10:AH46 AJ10:AJ46 AP10:AP46 AR10:AR46 AU10:AU46 AW10:AW46 AY10:AY46 E10:E46 G10:G46 I10:I46 K10:K46 M10:M46 O10:O46 S10:S46 W10:W46 Y10:Y46 Q10:Q46">
    <cfRule type="cellIs" dxfId="695" priority="1" stopIfTrue="1" operator="between">
      <formula>0.01</formula>
      <formula>49.99</formula>
    </cfRule>
    <cfRule type="cellIs" dxfId="694" priority="2" stopIfTrue="1" operator="between">
      <formula>50</formula>
      <formula>79.99</formula>
    </cfRule>
    <cfRule type="cellIs" dxfId="693" priority="3" stopIfTrue="1" operator="between">
      <formula>80</formula>
      <formula>89.99</formula>
    </cfRule>
    <cfRule type="cellIs" dxfId="692" priority="4" stopIfTrue="1" operator="between">
      <formula>90</formula>
      <formula>94.99</formula>
    </cfRule>
    <cfRule type="cellIs" dxfId="691" priority="5" stopIfTrue="1" operator="between">
      <formula>95</formula>
      <formula>100</formula>
    </cfRule>
    <cfRule type="cellIs" dxfId="690" priority="6" stopIfTrue="1" operator="greaterThanOrEqual">
      <formula>100.01</formula>
    </cfRule>
  </conditionalFormatting>
  <printOptions horizontalCentered="1"/>
  <pageMargins left="0.31496062992125984" right="0.31496062992125984" top="0.83" bottom="0.35433070866141736" header="0.27559055118110237" footer="0.23622047244094491"/>
  <pageSetup scale="65" orientation="landscape" horizontalDpi="4294967295" verticalDpi="4294967295" r:id="rId1"/>
  <headerFooter>
    <oddHeader>&amp;C&amp;"-,Negrita"Ministerio Salud y  Protección Social
República de Colombia</oddHeader>
    <oddFooter>&amp;C** &amp;F **&amp;R&amp;D - &amp;T        .</oddFooter>
  </headerFooter>
  <colBreaks count="1" manualBreakCount="1">
    <brk id="25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7"/>
  </sheetPr>
  <dimension ref="A5:P51"/>
  <sheetViews>
    <sheetView zoomScale="90" zoomScaleNormal="90" workbookViewId="0">
      <pane xSplit="1" ySplit="10" topLeftCell="B11" activePane="bottomRight" state="frozen"/>
      <selection activeCell="A4" sqref="A4"/>
      <selection pane="topRight" activeCell="A4" sqref="A4"/>
      <selection pane="bottomLeft" activeCell="A4" sqref="A4"/>
      <selection pane="bottomRight" activeCell="B11" sqref="B11"/>
    </sheetView>
  </sheetViews>
  <sheetFormatPr baseColWidth="10" defaultRowHeight="12.75" x14ac:dyDescent="0.2"/>
  <cols>
    <col min="1" max="1" width="22" style="17" customWidth="1"/>
    <col min="2" max="2" width="12" style="17" bestFit="1" customWidth="1"/>
    <col min="3" max="3" width="11.42578125" style="17" bestFit="1" customWidth="1"/>
    <col min="4" max="4" width="6" style="17" bestFit="1" customWidth="1"/>
    <col min="5" max="5" width="12" style="17" bestFit="1" customWidth="1"/>
    <col min="6" max="6" width="6" style="17" bestFit="1" customWidth="1"/>
    <col min="7" max="7" width="12" style="17" bestFit="1" customWidth="1"/>
    <col min="8" max="8" width="6" style="17" bestFit="1" customWidth="1"/>
    <col min="9" max="9" width="12" style="17" bestFit="1" customWidth="1"/>
    <col min="10" max="10" width="6" style="17" bestFit="1" customWidth="1"/>
    <col min="11" max="11" width="12" style="17" bestFit="1" customWidth="1"/>
    <col min="12" max="12" width="5.5703125" style="17" bestFit="1" customWidth="1"/>
    <col min="13" max="13" width="13.5703125" style="17" bestFit="1" customWidth="1"/>
    <col min="14" max="14" width="13" style="17" bestFit="1" customWidth="1"/>
    <col min="15" max="15" width="7.7109375" style="17" bestFit="1" customWidth="1"/>
    <col min="16" max="16" width="14" style="17" hidden="1" customWidth="1"/>
    <col min="17" max="16384" width="11.42578125" style="17"/>
  </cols>
  <sheetData>
    <row r="5" spans="1:16" x14ac:dyDescent="0.2">
      <c r="A5" s="702" t="s">
        <v>305</v>
      </c>
      <c r="B5" s="753" t="s">
        <v>328</v>
      </c>
    </row>
    <row r="6" spans="1:16" x14ac:dyDescent="0.2">
      <c r="A6" s="702" t="s">
        <v>306</v>
      </c>
      <c r="B6" s="776">
        <v>35074</v>
      </c>
    </row>
    <row r="7" spans="1:16" x14ac:dyDescent="0.2">
      <c r="A7" s="702" t="s">
        <v>307</v>
      </c>
      <c r="B7" s="766" t="s">
        <v>312</v>
      </c>
    </row>
    <row r="8" spans="1:16" x14ac:dyDescent="0.2">
      <c r="B8" s="1860" t="s">
        <v>0</v>
      </c>
      <c r="C8" s="1860"/>
      <c r="D8" s="1860"/>
      <c r="E8" s="1860"/>
      <c r="F8" s="1860"/>
      <c r="G8" s="1860"/>
      <c r="H8" s="1860"/>
      <c r="I8" s="1860"/>
      <c r="J8" s="1860"/>
      <c r="K8" s="1860"/>
      <c r="L8" s="1860"/>
      <c r="M8" s="1860"/>
      <c r="N8" s="1860"/>
      <c r="O8" s="1860"/>
    </row>
    <row r="9" spans="1:16" ht="13.5" thickBot="1" x14ac:dyDescent="0.25">
      <c r="A9" s="53"/>
      <c r="B9" s="1861" t="s">
        <v>42</v>
      </c>
      <c r="C9" s="1861"/>
      <c r="D9" s="1861"/>
      <c r="E9" s="1861"/>
      <c r="F9" s="1861"/>
      <c r="G9" s="1861"/>
      <c r="H9" s="1861"/>
      <c r="I9" s="1861"/>
      <c r="J9" s="1861"/>
      <c r="K9" s="1861"/>
      <c r="L9" s="1861"/>
      <c r="M9" s="1861"/>
      <c r="N9" s="1861"/>
      <c r="O9" s="1861"/>
      <c r="P9" s="37"/>
    </row>
    <row r="10" spans="1:16" ht="24.75" customHeight="1" thickBot="1" x14ac:dyDescent="0.25">
      <c r="A10" s="54" t="s">
        <v>1</v>
      </c>
      <c r="B10" s="55" t="s">
        <v>2</v>
      </c>
      <c r="C10" s="55" t="s">
        <v>3</v>
      </c>
      <c r="D10" s="56" t="s">
        <v>5</v>
      </c>
      <c r="E10" s="55" t="s">
        <v>6</v>
      </c>
      <c r="F10" s="57" t="s">
        <v>5</v>
      </c>
      <c r="G10" s="55" t="s">
        <v>7</v>
      </c>
      <c r="H10" s="56" t="s">
        <v>5</v>
      </c>
      <c r="I10" s="55" t="s">
        <v>9</v>
      </c>
      <c r="J10" s="57" t="s">
        <v>5</v>
      </c>
      <c r="K10" s="55" t="s">
        <v>43</v>
      </c>
      <c r="L10" s="55" t="s">
        <v>5</v>
      </c>
      <c r="M10" s="56" t="s">
        <v>2</v>
      </c>
      <c r="N10" s="57" t="s">
        <v>44</v>
      </c>
      <c r="O10" s="55" t="s">
        <v>5</v>
      </c>
      <c r="P10" s="319" t="s">
        <v>10</v>
      </c>
    </row>
    <row r="11" spans="1:16" x14ac:dyDescent="0.2">
      <c r="A11" s="42" t="s">
        <v>12</v>
      </c>
      <c r="B11" s="908">
        <v>1407</v>
      </c>
      <c r="C11" s="328">
        <v>1491</v>
      </c>
      <c r="D11" s="546">
        <f t="shared" ref="D11:D47" si="0">C11/B11*100</f>
        <v>105.97014925373134</v>
      </c>
      <c r="E11" s="549">
        <v>1275</v>
      </c>
      <c r="F11" s="550">
        <f t="shared" ref="F11:F47" si="1">E11/$B11*100</f>
        <v>90.618336886993603</v>
      </c>
      <c r="G11" s="328">
        <v>1477</v>
      </c>
      <c r="H11" s="330">
        <f t="shared" ref="H11:H47" si="2">G11/$B11*100</f>
        <v>104.97512437810946</v>
      </c>
      <c r="I11" s="542">
        <v>1131</v>
      </c>
      <c r="J11" s="550">
        <f t="shared" ref="J11:J47" si="3">I11/$B11*100</f>
        <v>80.383795309168448</v>
      </c>
      <c r="K11" s="328">
        <v>1041</v>
      </c>
      <c r="L11" s="330">
        <f t="shared" ref="L11:L47" si="4">K11/$B11*100</f>
        <v>73.987206823027719</v>
      </c>
      <c r="M11" s="916">
        <v>17411</v>
      </c>
      <c r="N11" s="333">
        <v>10795</v>
      </c>
      <c r="O11" s="320">
        <f t="shared" ref="O11:O47" si="5">N11/M11*100</f>
        <v>62.001033829188444</v>
      </c>
      <c r="P11" s="59">
        <v>0.7631</v>
      </c>
    </row>
    <row r="12" spans="1:16" x14ac:dyDescent="0.2">
      <c r="A12" s="46" t="s">
        <v>11</v>
      </c>
      <c r="B12" s="909">
        <v>109475</v>
      </c>
      <c r="C12" s="314">
        <v>103206</v>
      </c>
      <c r="D12" s="547">
        <f t="shared" si="0"/>
        <v>94.273578442566802</v>
      </c>
      <c r="E12" s="551">
        <v>103057</v>
      </c>
      <c r="F12" s="552">
        <f t="shared" si="1"/>
        <v>94.137474309203014</v>
      </c>
      <c r="G12" s="314">
        <v>115033.2</v>
      </c>
      <c r="H12" s="331">
        <f t="shared" si="2"/>
        <v>105.0771408997488</v>
      </c>
      <c r="I12" s="543">
        <v>100260</v>
      </c>
      <c r="J12" s="552">
        <f t="shared" si="3"/>
        <v>91.582553094313766</v>
      </c>
      <c r="K12" s="314">
        <v>83550</v>
      </c>
      <c r="L12" s="331">
        <f t="shared" si="4"/>
        <v>76.318794245261472</v>
      </c>
      <c r="M12" s="917">
        <v>272509</v>
      </c>
      <c r="N12" s="334">
        <v>138096</v>
      </c>
      <c r="O12" s="62">
        <f t="shared" si="5"/>
        <v>50.675757497917495</v>
      </c>
      <c r="P12" s="63">
        <v>0.76</v>
      </c>
    </row>
    <row r="13" spans="1:16" x14ac:dyDescent="0.2">
      <c r="A13" s="46" t="s">
        <v>13</v>
      </c>
      <c r="B13" s="909">
        <v>4415</v>
      </c>
      <c r="C13" s="314">
        <v>4475</v>
      </c>
      <c r="D13" s="547">
        <f t="shared" si="0"/>
        <v>101.3590033975085</v>
      </c>
      <c r="E13" s="551">
        <v>5369</v>
      </c>
      <c r="F13" s="552">
        <f t="shared" si="1"/>
        <v>121.60815402038506</v>
      </c>
      <c r="G13" s="314">
        <v>5731</v>
      </c>
      <c r="H13" s="331">
        <f t="shared" si="2"/>
        <v>129.80747451868632</v>
      </c>
      <c r="I13" s="543">
        <v>3954</v>
      </c>
      <c r="J13" s="552">
        <f t="shared" si="3"/>
        <v>89.55832389580975</v>
      </c>
      <c r="K13" s="314">
        <v>3295</v>
      </c>
      <c r="L13" s="331">
        <f t="shared" si="4"/>
        <v>74.631936579841451</v>
      </c>
      <c r="M13" s="917">
        <v>15176</v>
      </c>
      <c r="N13" s="334">
        <v>3307</v>
      </c>
      <c r="O13" s="62">
        <f t="shared" si="5"/>
        <v>21.790985767000524</v>
      </c>
      <c r="P13" s="63">
        <v>0.75</v>
      </c>
    </row>
    <row r="14" spans="1:16" x14ac:dyDescent="0.2">
      <c r="A14" s="50" t="s">
        <v>14</v>
      </c>
      <c r="B14" s="909">
        <v>18844</v>
      </c>
      <c r="C14" s="314">
        <v>13056</v>
      </c>
      <c r="D14" s="547">
        <f t="shared" si="0"/>
        <v>69.284652939927824</v>
      </c>
      <c r="E14" s="551">
        <v>12724</v>
      </c>
      <c r="F14" s="552">
        <f t="shared" si="1"/>
        <v>67.522818934408832</v>
      </c>
      <c r="G14" s="314">
        <v>12582</v>
      </c>
      <c r="H14" s="331">
        <f t="shared" si="2"/>
        <v>66.769263426024196</v>
      </c>
      <c r="I14" s="543">
        <v>11300</v>
      </c>
      <c r="J14" s="552">
        <f t="shared" si="3"/>
        <v>59.966036934833369</v>
      </c>
      <c r="K14" s="314">
        <v>9417</v>
      </c>
      <c r="L14" s="331">
        <f t="shared" si="4"/>
        <v>49.973466355338573</v>
      </c>
      <c r="M14" s="917">
        <v>58531</v>
      </c>
      <c r="N14" s="334">
        <v>38285</v>
      </c>
      <c r="O14" s="62">
        <f t="shared" si="5"/>
        <v>65.409782850113615</v>
      </c>
      <c r="P14" s="63">
        <v>50.4</v>
      </c>
    </row>
    <row r="15" spans="1:16" x14ac:dyDescent="0.2">
      <c r="A15" s="555" t="s">
        <v>115</v>
      </c>
      <c r="B15" s="909">
        <v>24192</v>
      </c>
      <c r="C15" s="314">
        <v>23580</v>
      </c>
      <c r="D15" s="547">
        <f t="shared" si="0"/>
        <v>97.470238095238088</v>
      </c>
      <c r="E15" s="551">
        <v>22099</v>
      </c>
      <c r="F15" s="552">
        <f t="shared" si="1"/>
        <v>91.348379629629633</v>
      </c>
      <c r="G15" s="314">
        <v>28579</v>
      </c>
      <c r="H15" s="331">
        <f t="shared" si="2"/>
        <v>118.13409391534391</v>
      </c>
      <c r="I15" s="543">
        <v>20652</v>
      </c>
      <c r="J15" s="552">
        <f t="shared" si="3"/>
        <v>85.367063492063494</v>
      </c>
      <c r="K15" s="314">
        <v>17210</v>
      </c>
      <c r="L15" s="331">
        <f t="shared" si="4"/>
        <v>71.139219576719583</v>
      </c>
      <c r="M15" s="917">
        <v>74570</v>
      </c>
      <c r="N15" s="334">
        <v>61397</v>
      </c>
      <c r="O15" s="62">
        <f t="shared" si="5"/>
        <v>82.334719055920615</v>
      </c>
      <c r="P15" s="63">
        <v>70</v>
      </c>
    </row>
    <row r="16" spans="1:16" x14ac:dyDescent="0.2">
      <c r="A16" s="50" t="s">
        <v>15</v>
      </c>
      <c r="B16" s="909">
        <v>131315</v>
      </c>
      <c r="C16" s="314">
        <v>123009.60000000001</v>
      </c>
      <c r="D16" s="547">
        <f t="shared" si="0"/>
        <v>93.675208468187193</v>
      </c>
      <c r="E16" s="551">
        <v>122292</v>
      </c>
      <c r="F16" s="552">
        <f t="shared" si="1"/>
        <v>93.128736244907287</v>
      </c>
      <c r="G16" s="314">
        <v>140367.6</v>
      </c>
      <c r="H16" s="331">
        <f t="shared" si="2"/>
        <v>106.89380497277538</v>
      </c>
      <c r="I16" s="543">
        <v>110284.8</v>
      </c>
      <c r="J16" s="552">
        <f t="shared" si="3"/>
        <v>83.984921753036588</v>
      </c>
      <c r="K16" s="314">
        <v>91904</v>
      </c>
      <c r="L16" s="331">
        <f t="shared" si="4"/>
        <v>69.987434794197156</v>
      </c>
      <c r="M16" s="917">
        <v>308748</v>
      </c>
      <c r="N16" s="334">
        <v>219211</v>
      </c>
      <c r="O16" s="62">
        <f t="shared" si="5"/>
        <v>70.999974088900984</v>
      </c>
      <c r="P16" s="63">
        <v>76</v>
      </c>
    </row>
    <row r="17" spans="1:16" x14ac:dyDescent="0.2">
      <c r="A17" s="50" t="s">
        <v>16</v>
      </c>
      <c r="B17" s="909">
        <v>21282</v>
      </c>
      <c r="C17" s="314">
        <v>21104</v>
      </c>
      <c r="D17" s="547">
        <f t="shared" si="0"/>
        <v>99.163612442439614</v>
      </c>
      <c r="E17" s="551">
        <v>20515</v>
      </c>
      <c r="F17" s="552">
        <f t="shared" si="1"/>
        <v>96.396015412085333</v>
      </c>
      <c r="G17" s="314">
        <v>21314</v>
      </c>
      <c r="H17" s="331">
        <f t="shared" si="2"/>
        <v>100.15036180810075</v>
      </c>
      <c r="I17" s="543">
        <v>19074</v>
      </c>
      <c r="J17" s="552">
        <f t="shared" si="3"/>
        <v>89.625035241048778</v>
      </c>
      <c r="K17" s="314">
        <v>16194</v>
      </c>
      <c r="L17" s="331">
        <f t="shared" si="4"/>
        <v>76.092472511981953</v>
      </c>
      <c r="M17" s="917">
        <v>68483</v>
      </c>
      <c r="N17" s="334">
        <v>51979</v>
      </c>
      <c r="O17" s="62">
        <f t="shared" si="5"/>
        <v>75.900588467210838</v>
      </c>
      <c r="P17" s="63">
        <v>71.849999999999994</v>
      </c>
    </row>
    <row r="18" spans="1:16" x14ac:dyDescent="0.2">
      <c r="A18" s="51" t="s">
        <v>45</v>
      </c>
      <c r="B18" s="909">
        <v>17478</v>
      </c>
      <c r="C18" s="314">
        <v>18732</v>
      </c>
      <c r="D18" s="547">
        <f t="shared" si="0"/>
        <v>107.174733951253</v>
      </c>
      <c r="E18" s="551">
        <v>17191</v>
      </c>
      <c r="F18" s="552">
        <f t="shared" si="1"/>
        <v>98.357935690582437</v>
      </c>
      <c r="G18" s="314">
        <v>17056</v>
      </c>
      <c r="H18" s="331">
        <f t="shared" si="2"/>
        <v>97.585536102528891</v>
      </c>
      <c r="I18" s="543">
        <v>18366</v>
      </c>
      <c r="J18" s="552">
        <f t="shared" si="3"/>
        <v>105.08067284586338</v>
      </c>
      <c r="K18" s="314">
        <v>15305</v>
      </c>
      <c r="L18" s="331">
        <f t="shared" si="4"/>
        <v>87.567227371552818</v>
      </c>
      <c r="M18" s="917">
        <v>0</v>
      </c>
      <c r="N18" s="334">
        <v>0</v>
      </c>
      <c r="O18" s="62" t="e">
        <f t="shared" si="5"/>
        <v>#DIV/0!</v>
      </c>
      <c r="P18" s="63">
        <v>70.16</v>
      </c>
    </row>
    <row r="19" spans="1:16" x14ac:dyDescent="0.2">
      <c r="A19" s="51" t="s">
        <v>17</v>
      </c>
      <c r="B19" s="909">
        <v>6402</v>
      </c>
      <c r="C19" s="314">
        <v>4925</v>
      </c>
      <c r="D19" s="547">
        <f t="shared" si="0"/>
        <v>76.929084661043419</v>
      </c>
      <c r="E19" s="551">
        <v>4927</v>
      </c>
      <c r="F19" s="552">
        <f t="shared" si="1"/>
        <v>76.960324898469224</v>
      </c>
      <c r="G19" s="314">
        <v>5635</v>
      </c>
      <c r="H19" s="331">
        <f t="shared" si="2"/>
        <v>88.019368947204001</v>
      </c>
      <c r="I19" s="543">
        <v>5520</v>
      </c>
      <c r="J19" s="552">
        <f t="shared" si="3"/>
        <v>86.223055295220234</v>
      </c>
      <c r="K19" s="314">
        <v>4600</v>
      </c>
      <c r="L19" s="331">
        <f t="shared" si="4"/>
        <v>71.852546079350205</v>
      </c>
      <c r="M19" s="917">
        <v>100185</v>
      </c>
      <c r="N19" s="334">
        <v>74162</v>
      </c>
      <c r="O19" s="62">
        <f t="shared" si="5"/>
        <v>74.025053650746116</v>
      </c>
      <c r="P19" s="63">
        <v>76.650000000000006</v>
      </c>
    </row>
    <row r="20" spans="1:16" x14ac:dyDescent="0.2">
      <c r="A20" s="51" t="s">
        <v>19</v>
      </c>
      <c r="B20" s="909">
        <v>20317</v>
      </c>
      <c r="C20" s="314">
        <v>19570</v>
      </c>
      <c r="D20" s="547">
        <f t="shared" si="0"/>
        <v>96.323276074223557</v>
      </c>
      <c r="E20" s="551">
        <v>19458</v>
      </c>
      <c r="F20" s="552">
        <f t="shared" si="1"/>
        <v>95.772013584682782</v>
      </c>
      <c r="G20" s="314">
        <v>20282</v>
      </c>
      <c r="H20" s="331">
        <f t="shared" si="2"/>
        <v>99.827730472018501</v>
      </c>
      <c r="I20" s="543">
        <v>18686</v>
      </c>
      <c r="J20" s="552">
        <f t="shared" si="3"/>
        <v>91.972239996062413</v>
      </c>
      <c r="K20" s="314">
        <v>15572</v>
      </c>
      <c r="L20" s="331">
        <f t="shared" si="4"/>
        <v>76.645173992223263</v>
      </c>
      <c r="M20" s="917">
        <v>56621</v>
      </c>
      <c r="N20" s="334">
        <v>43830</v>
      </c>
      <c r="O20" s="62">
        <f t="shared" si="5"/>
        <v>77.409441726567891</v>
      </c>
      <c r="P20" s="63">
        <v>0.85</v>
      </c>
    </row>
    <row r="21" spans="1:16" x14ac:dyDescent="0.2">
      <c r="A21" s="51" t="s">
        <v>20</v>
      </c>
      <c r="B21" s="909">
        <v>10025</v>
      </c>
      <c r="C21" s="314">
        <v>10234</v>
      </c>
      <c r="D21" s="547">
        <f t="shared" si="0"/>
        <v>102.08478802992518</v>
      </c>
      <c r="E21" s="551">
        <v>12895</v>
      </c>
      <c r="F21" s="552">
        <f t="shared" si="1"/>
        <v>128.6284289276808</v>
      </c>
      <c r="G21" s="314">
        <v>10967</v>
      </c>
      <c r="H21" s="331">
        <f t="shared" si="2"/>
        <v>109.39650872817954</v>
      </c>
      <c r="I21" s="543">
        <v>10171</v>
      </c>
      <c r="J21" s="552">
        <f t="shared" si="3"/>
        <v>101.45635910224439</v>
      </c>
      <c r="K21" s="314">
        <v>8476</v>
      </c>
      <c r="L21" s="331">
        <f t="shared" si="4"/>
        <v>84.548628428927685</v>
      </c>
      <c r="M21" s="917">
        <v>26724</v>
      </c>
      <c r="N21" s="334">
        <v>19064</v>
      </c>
      <c r="O21" s="62">
        <f t="shared" si="5"/>
        <v>71.336626253554854</v>
      </c>
      <c r="P21" s="63">
        <v>78.099999999999994</v>
      </c>
    </row>
    <row r="22" spans="1:16" x14ac:dyDescent="0.2">
      <c r="A22" s="51" t="s">
        <v>21</v>
      </c>
      <c r="B22" s="909">
        <v>6258</v>
      </c>
      <c r="C22" s="314">
        <v>7044</v>
      </c>
      <c r="D22" s="547">
        <f t="shared" si="0"/>
        <v>112.55992329817832</v>
      </c>
      <c r="E22" s="551">
        <v>6974</v>
      </c>
      <c r="F22" s="552">
        <f t="shared" si="1"/>
        <v>111.44135506551613</v>
      </c>
      <c r="G22" s="314">
        <v>7321</v>
      </c>
      <c r="H22" s="331">
        <f t="shared" si="2"/>
        <v>116.98625759028442</v>
      </c>
      <c r="I22" s="543">
        <v>5867</v>
      </c>
      <c r="J22" s="552">
        <f t="shared" si="3"/>
        <v>93.7519974432726</v>
      </c>
      <c r="K22" s="314">
        <v>4889</v>
      </c>
      <c r="L22" s="331">
        <f t="shared" si="4"/>
        <v>78.124001278363693</v>
      </c>
      <c r="M22" s="917">
        <v>17672</v>
      </c>
      <c r="N22" s="334">
        <v>14094</v>
      </c>
      <c r="O22" s="62">
        <f t="shared" si="5"/>
        <v>79.753282028066991</v>
      </c>
      <c r="P22" s="63">
        <v>0.73499999999999999</v>
      </c>
    </row>
    <row r="23" spans="1:16" x14ac:dyDescent="0.2">
      <c r="A23" s="51" t="s">
        <v>18</v>
      </c>
      <c r="B23" s="909">
        <v>22983</v>
      </c>
      <c r="C23" s="314">
        <v>20610</v>
      </c>
      <c r="D23" s="547">
        <f t="shared" si="0"/>
        <v>89.674977157029119</v>
      </c>
      <c r="E23" s="551">
        <v>21829</v>
      </c>
      <c r="F23" s="552">
        <f t="shared" si="1"/>
        <v>94.978897445938301</v>
      </c>
      <c r="G23" s="314">
        <v>21733</v>
      </c>
      <c r="H23" s="331">
        <f t="shared" si="2"/>
        <v>94.561197406778916</v>
      </c>
      <c r="I23" s="543">
        <v>17573</v>
      </c>
      <c r="J23" s="552">
        <f t="shared" si="3"/>
        <v>76.460862376539183</v>
      </c>
      <c r="K23" s="314">
        <v>16125</v>
      </c>
      <c r="L23" s="331">
        <f t="shared" si="4"/>
        <v>70.160553452551895</v>
      </c>
      <c r="M23" s="917">
        <v>69275</v>
      </c>
      <c r="N23" s="334">
        <v>50511</v>
      </c>
      <c r="O23" s="62">
        <f t="shared" si="5"/>
        <v>72.913749548899304</v>
      </c>
      <c r="P23" s="63">
        <v>70</v>
      </c>
    </row>
    <row r="24" spans="1:16" x14ac:dyDescent="0.2">
      <c r="A24" s="51" t="s">
        <v>22</v>
      </c>
      <c r="B24" s="909">
        <v>28801</v>
      </c>
      <c r="C24" s="314">
        <v>21404</v>
      </c>
      <c r="D24" s="547">
        <f t="shared" si="0"/>
        <v>74.316863997777858</v>
      </c>
      <c r="E24" s="551">
        <v>20620</v>
      </c>
      <c r="F24" s="552">
        <f t="shared" si="1"/>
        <v>71.594736293878682</v>
      </c>
      <c r="G24" s="314">
        <v>21754</v>
      </c>
      <c r="H24" s="331">
        <f t="shared" si="2"/>
        <v>75.532099579875705</v>
      </c>
      <c r="I24" s="543">
        <v>16193</v>
      </c>
      <c r="J24" s="552">
        <f t="shared" si="3"/>
        <v>56.223742231172523</v>
      </c>
      <c r="K24" s="314">
        <v>21312</v>
      </c>
      <c r="L24" s="331">
        <f t="shared" si="4"/>
        <v>73.997430644769281</v>
      </c>
      <c r="M24" s="917">
        <v>70844</v>
      </c>
      <c r="N24" s="334">
        <v>52426</v>
      </c>
      <c r="O24" s="62">
        <f t="shared" si="5"/>
        <v>74.002032635085541</v>
      </c>
      <c r="P24" s="63">
        <v>64.06</v>
      </c>
    </row>
    <row r="25" spans="1:16" x14ac:dyDescent="0.2">
      <c r="A25" s="51" t="s">
        <v>24</v>
      </c>
      <c r="B25" s="909">
        <v>9732</v>
      </c>
      <c r="C25" s="314">
        <v>8815</v>
      </c>
      <c r="D25" s="547">
        <f t="shared" si="0"/>
        <v>90.577476366625561</v>
      </c>
      <c r="E25" s="551">
        <v>8139</v>
      </c>
      <c r="F25" s="552">
        <f t="shared" si="1"/>
        <v>83.631319358816285</v>
      </c>
      <c r="G25" s="314">
        <v>10950</v>
      </c>
      <c r="H25" s="331">
        <f t="shared" si="2"/>
        <v>112.51541307028361</v>
      </c>
      <c r="I25" s="543">
        <v>7125</v>
      </c>
      <c r="J25" s="552">
        <f t="shared" si="3"/>
        <v>73.212083847102335</v>
      </c>
      <c r="K25" s="314">
        <v>6235</v>
      </c>
      <c r="L25" s="331">
        <f t="shared" si="4"/>
        <v>64.066995478832723</v>
      </c>
      <c r="M25" s="917">
        <v>36493</v>
      </c>
      <c r="N25" s="334">
        <v>15605</v>
      </c>
      <c r="O25" s="62">
        <f t="shared" si="5"/>
        <v>42.761625517222477</v>
      </c>
      <c r="P25" s="63">
        <v>72</v>
      </c>
    </row>
    <row r="26" spans="1:16" x14ac:dyDescent="0.2">
      <c r="A26" s="51" t="s">
        <v>23</v>
      </c>
      <c r="B26" s="909">
        <v>32082</v>
      </c>
      <c r="C26" s="314">
        <v>35376</v>
      </c>
      <c r="D26" s="547">
        <f t="shared" si="0"/>
        <v>110.26743968580513</v>
      </c>
      <c r="E26" s="551">
        <v>34400</v>
      </c>
      <c r="F26" s="552">
        <f t="shared" si="1"/>
        <v>107.22523533445545</v>
      </c>
      <c r="G26" s="314">
        <v>34390</v>
      </c>
      <c r="H26" s="331">
        <f t="shared" si="2"/>
        <v>107.19406520790476</v>
      </c>
      <c r="I26" s="543">
        <v>26918</v>
      </c>
      <c r="J26" s="552">
        <f t="shared" si="3"/>
        <v>83.903746649211399</v>
      </c>
      <c r="K26" s="314">
        <v>22432</v>
      </c>
      <c r="L26" s="331">
        <f t="shared" si="4"/>
        <v>69.920827878561184</v>
      </c>
      <c r="M26" s="917">
        <v>95580</v>
      </c>
      <c r="N26" s="334">
        <v>37383</v>
      </c>
      <c r="O26" s="62">
        <f t="shared" si="5"/>
        <v>39.111738857501571</v>
      </c>
      <c r="P26" s="63">
        <v>69.86</v>
      </c>
    </row>
    <row r="27" spans="1:16" x14ac:dyDescent="0.2">
      <c r="A27" s="558" t="s">
        <v>122</v>
      </c>
      <c r="B27" s="909">
        <v>39239</v>
      </c>
      <c r="C27" s="314">
        <v>34192</v>
      </c>
      <c r="D27" s="547">
        <f t="shared" si="0"/>
        <v>87.137796579933223</v>
      </c>
      <c r="E27" s="551">
        <v>34408</v>
      </c>
      <c r="F27" s="552">
        <f t="shared" si="1"/>
        <v>87.688269323886942</v>
      </c>
      <c r="G27" s="314">
        <v>41396</v>
      </c>
      <c r="H27" s="331">
        <f t="shared" si="2"/>
        <v>105.49708198476007</v>
      </c>
      <c r="I27" s="543">
        <v>34082</v>
      </c>
      <c r="J27" s="552">
        <f t="shared" si="3"/>
        <v>86.857463238104941</v>
      </c>
      <c r="K27" s="314">
        <v>28402</v>
      </c>
      <c r="L27" s="331">
        <f t="shared" si="4"/>
        <v>72.382068860062702</v>
      </c>
      <c r="M27" s="917">
        <v>113680</v>
      </c>
      <c r="N27" s="334">
        <v>46750</v>
      </c>
      <c r="O27" s="62">
        <f t="shared" si="5"/>
        <v>41.124208304011262</v>
      </c>
      <c r="P27" s="63">
        <v>41</v>
      </c>
    </row>
    <row r="28" spans="1:16" x14ac:dyDescent="0.2">
      <c r="A28" s="51" t="s">
        <v>25</v>
      </c>
      <c r="B28" s="909">
        <v>719</v>
      </c>
      <c r="C28" s="314">
        <v>319</v>
      </c>
      <c r="D28" s="547">
        <f t="shared" si="0"/>
        <v>44.367176634214182</v>
      </c>
      <c r="E28" s="551">
        <v>336</v>
      </c>
      <c r="F28" s="552">
        <f t="shared" si="1"/>
        <v>46.731571627260081</v>
      </c>
      <c r="G28" s="314">
        <v>643</v>
      </c>
      <c r="H28" s="331">
        <f t="shared" si="2"/>
        <v>89.429763560500703</v>
      </c>
      <c r="I28" s="543">
        <v>358</v>
      </c>
      <c r="J28" s="552">
        <f t="shared" si="3"/>
        <v>49.791376912378304</v>
      </c>
      <c r="K28" s="314">
        <v>298</v>
      </c>
      <c r="L28" s="331">
        <f t="shared" si="4"/>
        <v>41.446453407510432</v>
      </c>
      <c r="M28" s="917">
        <v>3200</v>
      </c>
      <c r="N28" s="334">
        <v>0</v>
      </c>
      <c r="O28" s="62">
        <f t="shared" si="5"/>
        <v>0</v>
      </c>
      <c r="P28" s="63">
        <v>39.28</v>
      </c>
    </row>
    <row r="29" spans="1:16" x14ac:dyDescent="0.2">
      <c r="A29" s="51" t="s">
        <v>26</v>
      </c>
      <c r="B29" s="909">
        <v>2021</v>
      </c>
      <c r="C29" s="314">
        <v>1093</v>
      </c>
      <c r="D29" s="547">
        <f t="shared" si="0"/>
        <v>54.082137555665511</v>
      </c>
      <c r="E29" s="551">
        <v>1111</v>
      </c>
      <c r="F29" s="552">
        <f t="shared" si="1"/>
        <v>54.972785749628898</v>
      </c>
      <c r="G29" s="314">
        <v>1812</v>
      </c>
      <c r="H29" s="331">
        <f t="shared" si="2"/>
        <v>89.658584858980703</v>
      </c>
      <c r="I29" s="543">
        <v>952.8</v>
      </c>
      <c r="J29" s="552">
        <f t="shared" si="3"/>
        <v>47.144977733795145</v>
      </c>
      <c r="K29" s="314">
        <v>794</v>
      </c>
      <c r="L29" s="331">
        <f t="shared" si="4"/>
        <v>39.28748144482929</v>
      </c>
      <c r="M29" s="917">
        <v>6648</v>
      </c>
      <c r="N29" s="334">
        <v>4210</v>
      </c>
      <c r="O29" s="62">
        <f t="shared" si="5"/>
        <v>63.327316486161259</v>
      </c>
      <c r="P29" s="63"/>
    </row>
    <row r="30" spans="1:16" x14ac:dyDescent="0.2">
      <c r="A30" s="51" t="s">
        <v>27</v>
      </c>
      <c r="B30" s="909">
        <v>23447</v>
      </c>
      <c r="C30" s="314">
        <v>24110</v>
      </c>
      <c r="D30" s="547">
        <f t="shared" si="0"/>
        <v>102.82765385763636</v>
      </c>
      <c r="E30" s="551">
        <v>23987</v>
      </c>
      <c r="F30" s="552">
        <f t="shared" si="1"/>
        <v>102.30306649038256</v>
      </c>
      <c r="G30" s="314">
        <v>26294</v>
      </c>
      <c r="H30" s="331">
        <f t="shared" si="2"/>
        <v>112.14227832985031</v>
      </c>
      <c r="I30" s="543">
        <v>0</v>
      </c>
      <c r="J30" s="552">
        <f t="shared" si="3"/>
        <v>0</v>
      </c>
      <c r="K30" s="314">
        <v>0</v>
      </c>
      <c r="L30" s="331">
        <f t="shared" si="4"/>
        <v>0</v>
      </c>
      <c r="M30" s="917">
        <v>86730</v>
      </c>
      <c r="N30" s="334">
        <v>77190</v>
      </c>
      <c r="O30" s="62">
        <f t="shared" si="5"/>
        <v>89.000345901072293</v>
      </c>
      <c r="P30" s="63">
        <v>0.73</v>
      </c>
    </row>
    <row r="31" spans="1:16" x14ac:dyDescent="0.2">
      <c r="A31" s="557" t="s">
        <v>124</v>
      </c>
      <c r="B31" s="909">
        <v>10771</v>
      </c>
      <c r="C31" s="314">
        <v>10805</v>
      </c>
      <c r="D31" s="547">
        <f t="shared" si="0"/>
        <v>100.315662426887</v>
      </c>
      <c r="E31" s="551">
        <v>10432</v>
      </c>
      <c r="F31" s="552">
        <f t="shared" si="1"/>
        <v>96.852659920155972</v>
      </c>
      <c r="G31" s="314">
        <v>11262</v>
      </c>
      <c r="H31" s="331">
        <f t="shared" si="2"/>
        <v>104.55853681180949</v>
      </c>
      <c r="I31" s="543">
        <v>9030</v>
      </c>
      <c r="J31" s="552">
        <f t="shared" si="3"/>
        <v>83.836226905579807</v>
      </c>
      <c r="K31" s="314">
        <v>7525</v>
      </c>
      <c r="L31" s="331">
        <f t="shared" si="4"/>
        <v>69.863522421316489</v>
      </c>
      <c r="M31" s="917">
        <v>36903</v>
      </c>
      <c r="N31" s="334">
        <v>14880</v>
      </c>
      <c r="O31" s="62">
        <f t="shared" si="5"/>
        <v>40.32192504674417</v>
      </c>
      <c r="P31" s="63">
        <v>65.3</v>
      </c>
    </row>
    <row r="32" spans="1:16" x14ac:dyDescent="0.2">
      <c r="A32" s="51" t="s">
        <v>28</v>
      </c>
      <c r="B32" s="909">
        <v>25142</v>
      </c>
      <c r="C32" s="314">
        <v>25702</v>
      </c>
      <c r="D32" s="547">
        <f t="shared" si="0"/>
        <v>102.2273486596134</v>
      </c>
      <c r="E32" s="551">
        <v>25373</v>
      </c>
      <c r="F32" s="552">
        <f t="shared" si="1"/>
        <v>100.91878132209054</v>
      </c>
      <c r="G32" s="314">
        <v>25090</v>
      </c>
      <c r="H32" s="331">
        <f t="shared" si="2"/>
        <v>99.793174767321617</v>
      </c>
      <c r="I32" s="543">
        <v>21883</v>
      </c>
      <c r="J32" s="552">
        <f t="shared" si="3"/>
        <v>87.037626282714186</v>
      </c>
      <c r="K32" s="314">
        <v>18236</v>
      </c>
      <c r="L32" s="331">
        <f t="shared" si="4"/>
        <v>72.532018136981947</v>
      </c>
      <c r="M32" s="917">
        <v>77594</v>
      </c>
      <c r="N32" s="334">
        <v>77472</v>
      </c>
      <c r="O32" s="62">
        <f t="shared" si="5"/>
        <v>99.842771348300133</v>
      </c>
      <c r="P32" s="63">
        <v>65.67</v>
      </c>
    </row>
    <row r="33" spans="1:16" x14ac:dyDescent="0.2">
      <c r="A33" s="50" t="s">
        <v>46</v>
      </c>
      <c r="B33" s="909">
        <v>7108</v>
      </c>
      <c r="C33" s="314">
        <v>6097</v>
      </c>
      <c r="D33" s="547">
        <f t="shared" si="0"/>
        <v>85.776589758019128</v>
      </c>
      <c r="E33" s="551">
        <v>6102</v>
      </c>
      <c r="F33" s="552">
        <f t="shared" si="1"/>
        <v>85.846933033202021</v>
      </c>
      <c r="G33" s="314">
        <v>0</v>
      </c>
      <c r="H33" s="331">
        <f t="shared" si="2"/>
        <v>0</v>
      </c>
      <c r="I33" s="543">
        <v>5212</v>
      </c>
      <c r="J33" s="552">
        <f t="shared" si="3"/>
        <v>73.325830050647156</v>
      </c>
      <c r="K33" s="314">
        <v>4343</v>
      </c>
      <c r="L33" s="331">
        <f t="shared" si="4"/>
        <v>61.100168823860436</v>
      </c>
      <c r="M33" s="917">
        <v>21959</v>
      </c>
      <c r="N33" s="334">
        <v>8475</v>
      </c>
      <c r="O33" s="62">
        <f t="shared" si="5"/>
        <v>38.594653672753772</v>
      </c>
      <c r="P33" s="63">
        <v>81</v>
      </c>
    </row>
    <row r="34" spans="1:16" x14ac:dyDescent="0.2">
      <c r="A34" s="51" t="s">
        <v>29</v>
      </c>
      <c r="B34" s="909">
        <v>17839</v>
      </c>
      <c r="C34" s="314">
        <v>15818</v>
      </c>
      <c r="D34" s="547">
        <f t="shared" si="0"/>
        <v>88.670889623857846</v>
      </c>
      <c r="E34" s="551">
        <v>15764</v>
      </c>
      <c r="F34" s="552">
        <f t="shared" si="1"/>
        <v>88.368182072986158</v>
      </c>
      <c r="G34" s="314">
        <v>17441</v>
      </c>
      <c r="H34" s="331">
        <f t="shared" si="2"/>
        <v>97.768933236167939</v>
      </c>
      <c r="I34" s="543">
        <v>13975</v>
      </c>
      <c r="J34" s="552">
        <f t="shared" si="3"/>
        <v>78.339593026514947</v>
      </c>
      <c r="K34" s="314">
        <v>11646</v>
      </c>
      <c r="L34" s="331">
        <f t="shared" si="4"/>
        <v>65.283928471326874</v>
      </c>
      <c r="M34" s="917">
        <v>46974</v>
      </c>
      <c r="N34" s="334">
        <v>48635</v>
      </c>
      <c r="O34" s="62">
        <f t="shared" si="5"/>
        <v>103.53599863754417</v>
      </c>
      <c r="P34" s="63">
        <v>45.4</v>
      </c>
    </row>
    <row r="35" spans="1:16" x14ac:dyDescent="0.2">
      <c r="A35" s="51" t="s">
        <v>30</v>
      </c>
      <c r="B35" s="909">
        <v>30809</v>
      </c>
      <c r="C35" s="314">
        <v>26416</v>
      </c>
      <c r="D35" s="547">
        <f t="shared" si="0"/>
        <v>85.741179525463338</v>
      </c>
      <c r="E35" s="551">
        <v>26465</v>
      </c>
      <c r="F35" s="552">
        <f t="shared" si="1"/>
        <v>85.900223960531022</v>
      </c>
      <c r="G35" s="314">
        <v>31162</v>
      </c>
      <c r="H35" s="331">
        <f t="shared" si="2"/>
        <v>101.14576909344673</v>
      </c>
      <c r="I35" s="543">
        <v>24272</v>
      </c>
      <c r="J35" s="552">
        <f t="shared" si="3"/>
        <v>78.782174040053235</v>
      </c>
      <c r="K35" s="314">
        <v>20227</v>
      </c>
      <c r="L35" s="331">
        <f t="shared" si="4"/>
        <v>65.652893634976792</v>
      </c>
      <c r="M35" s="917">
        <v>94163</v>
      </c>
      <c r="N35" s="334">
        <v>60951</v>
      </c>
      <c r="O35" s="62">
        <f t="shared" si="5"/>
        <v>64.729246094538198</v>
      </c>
      <c r="P35" s="63">
        <v>0.77</v>
      </c>
    </row>
    <row r="36" spans="1:16" x14ac:dyDescent="0.2">
      <c r="A36" s="557" t="s">
        <v>144</v>
      </c>
      <c r="B36" s="909">
        <v>25671</v>
      </c>
      <c r="C36" s="314">
        <v>25685</v>
      </c>
      <c r="D36" s="547">
        <f t="shared" si="0"/>
        <v>100.0545362471271</v>
      </c>
      <c r="E36" s="551">
        <v>26048</v>
      </c>
      <c r="F36" s="552">
        <f t="shared" si="1"/>
        <v>101.46858322620855</v>
      </c>
      <c r="G36" s="314">
        <v>31802</v>
      </c>
      <c r="H36" s="331">
        <f t="shared" si="2"/>
        <v>123.88298079545012</v>
      </c>
      <c r="I36" s="543">
        <v>24836</v>
      </c>
      <c r="J36" s="552">
        <f t="shared" si="3"/>
        <v>96.747302403490323</v>
      </c>
      <c r="K36" s="314">
        <v>20697</v>
      </c>
      <c r="L36" s="331">
        <f t="shared" si="4"/>
        <v>80.624050484983059</v>
      </c>
      <c r="M36" s="917">
        <v>87405</v>
      </c>
      <c r="N36" s="334">
        <v>40704</v>
      </c>
      <c r="O36" s="62">
        <f t="shared" si="5"/>
        <v>46.569418225501977</v>
      </c>
      <c r="P36" s="63">
        <v>63</v>
      </c>
    </row>
    <row r="37" spans="1:16" x14ac:dyDescent="0.2">
      <c r="A37" s="51" t="s">
        <v>31</v>
      </c>
      <c r="B37" s="909">
        <v>7858</v>
      </c>
      <c r="C37" s="314">
        <v>5291</v>
      </c>
      <c r="D37" s="547">
        <f t="shared" si="0"/>
        <v>67.332654619496054</v>
      </c>
      <c r="E37" s="551">
        <v>5173</v>
      </c>
      <c r="F37" s="552">
        <f t="shared" si="1"/>
        <v>65.83100025451769</v>
      </c>
      <c r="G37" s="314">
        <v>5732</v>
      </c>
      <c r="H37" s="331">
        <f t="shared" si="2"/>
        <v>72.944769661491478</v>
      </c>
      <c r="I37" s="543">
        <v>4285</v>
      </c>
      <c r="J37" s="552">
        <f t="shared" si="3"/>
        <v>54.53041486383303</v>
      </c>
      <c r="K37" s="314">
        <v>3571</v>
      </c>
      <c r="L37" s="331">
        <f t="shared" si="4"/>
        <v>45.444133367269025</v>
      </c>
      <c r="M37" s="917">
        <v>18585</v>
      </c>
      <c r="N37" s="334">
        <v>7924</v>
      </c>
      <c r="O37" s="62">
        <f t="shared" si="5"/>
        <v>42.636534839924671</v>
      </c>
      <c r="P37" s="63">
        <v>59.6</v>
      </c>
    </row>
    <row r="38" spans="1:16" x14ac:dyDescent="0.2">
      <c r="A38" s="51" t="s">
        <v>32</v>
      </c>
      <c r="B38" s="909">
        <v>11266</v>
      </c>
      <c r="C38" s="314">
        <v>11460</v>
      </c>
      <c r="D38" s="547">
        <f t="shared" si="0"/>
        <v>101.72199538434228</v>
      </c>
      <c r="E38" s="551">
        <v>11528</v>
      </c>
      <c r="F38" s="552">
        <f t="shared" si="1"/>
        <v>102.32558139534885</v>
      </c>
      <c r="G38" s="314">
        <v>12857</v>
      </c>
      <c r="H38" s="331">
        <f t="shared" si="2"/>
        <v>114.12213740458014</v>
      </c>
      <c r="I38" s="543">
        <v>10356</v>
      </c>
      <c r="J38" s="552">
        <f t="shared" si="3"/>
        <v>91.922598970353278</v>
      </c>
      <c r="K38" s="314">
        <v>8630</v>
      </c>
      <c r="L38" s="331">
        <f t="shared" si="4"/>
        <v>76.602165808627731</v>
      </c>
      <c r="M38" s="917">
        <v>28039</v>
      </c>
      <c r="N38" s="334">
        <v>23540</v>
      </c>
      <c r="O38" s="62">
        <f t="shared" si="5"/>
        <v>83.954491957630438</v>
      </c>
      <c r="P38" s="63">
        <v>73</v>
      </c>
    </row>
    <row r="39" spans="1:16" x14ac:dyDescent="0.2">
      <c r="A39" s="51" t="s">
        <v>33</v>
      </c>
      <c r="B39" s="909">
        <v>18137</v>
      </c>
      <c r="C39" s="314">
        <v>16826</v>
      </c>
      <c r="D39" s="547">
        <f t="shared" si="0"/>
        <v>92.771682196614663</v>
      </c>
      <c r="E39" s="551">
        <v>17330</v>
      </c>
      <c r="F39" s="552">
        <f t="shared" si="1"/>
        <v>95.550532061531683</v>
      </c>
      <c r="G39" s="314">
        <v>17879</v>
      </c>
      <c r="H39" s="331">
        <f t="shared" si="2"/>
        <v>98.57749352153057</v>
      </c>
      <c r="I39" s="543">
        <v>13711</v>
      </c>
      <c r="J39" s="552">
        <f t="shared" si="3"/>
        <v>75.596846225946962</v>
      </c>
      <c r="K39" s="314">
        <v>11426</v>
      </c>
      <c r="L39" s="331">
        <f t="shared" si="4"/>
        <v>62.998290786789433</v>
      </c>
      <c r="M39" s="917">
        <v>52251</v>
      </c>
      <c r="N39" s="334">
        <v>33539</v>
      </c>
      <c r="O39" s="62">
        <f t="shared" si="5"/>
        <v>64.188245201048787</v>
      </c>
      <c r="P39" s="63">
        <v>71.25</v>
      </c>
    </row>
    <row r="40" spans="1:16" x14ac:dyDescent="0.2">
      <c r="A40" s="51" t="s">
        <v>34</v>
      </c>
      <c r="B40" s="909">
        <v>1638</v>
      </c>
      <c r="C40" s="314">
        <v>1105</v>
      </c>
      <c r="D40" s="547">
        <f t="shared" si="0"/>
        <v>67.460317460317469</v>
      </c>
      <c r="E40" s="551">
        <v>1108</v>
      </c>
      <c r="F40" s="552">
        <f t="shared" si="1"/>
        <v>67.643467643467645</v>
      </c>
      <c r="G40" s="314">
        <v>991</v>
      </c>
      <c r="H40" s="331">
        <f t="shared" si="2"/>
        <v>60.500610500610499</v>
      </c>
      <c r="I40" s="543">
        <v>1172</v>
      </c>
      <c r="J40" s="552">
        <f t="shared" si="3"/>
        <v>71.550671550671552</v>
      </c>
      <c r="K40" s="314">
        <v>977</v>
      </c>
      <c r="L40" s="331">
        <f t="shared" si="4"/>
        <v>59.645909645909647</v>
      </c>
      <c r="M40" s="917">
        <v>3272</v>
      </c>
      <c r="N40" s="334">
        <v>0</v>
      </c>
      <c r="O40" s="62">
        <f t="shared" si="5"/>
        <v>0</v>
      </c>
      <c r="P40" s="63">
        <v>71</v>
      </c>
    </row>
    <row r="41" spans="1:16" x14ac:dyDescent="0.2">
      <c r="A41" s="51" t="s">
        <v>35</v>
      </c>
      <c r="B41" s="909">
        <v>46567</v>
      </c>
      <c r="C41" s="314">
        <v>46903</v>
      </c>
      <c r="D41" s="547">
        <f t="shared" si="0"/>
        <v>100.72154100543302</v>
      </c>
      <c r="E41" s="543">
        <v>46808</v>
      </c>
      <c r="F41" s="552">
        <f t="shared" si="1"/>
        <v>100.51753387592071</v>
      </c>
      <c r="G41" s="314">
        <v>52194</v>
      </c>
      <c r="H41" s="331">
        <f t="shared" si="2"/>
        <v>112.08366439753475</v>
      </c>
      <c r="I41" s="543">
        <v>45816</v>
      </c>
      <c r="J41" s="552">
        <f t="shared" si="3"/>
        <v>98.387269955118427</v>
      </c>
      <c r="K41" s="314">
        <v>44363</v>
      </c>
      <c r="L41" s="331">
        <f t="shared" si="4"/>
        <v>95.267034595314286</v>
      </c>
      <c r="M41" s="917">
        <v>128427</v>
      </c>
      <c r="N41" s="314">
        <v>37099</v>
      </c>
      <c r="O41" s="62">
        <f t="shared" si="5"/>
        <v>28.887227763632257</v>
      </c>
      <c r="P41" s="63">
        <v>65</v>
      </c>
    </row>
    <row r="42" spans="1:16" x14ac:dyDescent="0.2">
      <c r="A42" s="51" t="s">
        <v>36</v>
      </c>
      <c r="B42" s="909">
        <v>16736</v>
      </c>
      <c r="C42" s="314">
        <v>16917</v>
      </c>
      <c r="D42" s="547">
        <f t="shared" si="0"/>
        <v>101.08150095602295</v>
      </c>
      <c r="E42" s="551">
        <v>16728</v>
      </c>
      <c r="F42" s="552">
        <f t="shared" si="1"/>
        <v>99.952198852772469</v>
      </c>
      <c r="G42" s="314">
        <v>16752</v>
      </c>
      <c r="H42" s="331">
        <f t="shared" si="2"/>
        <v>100.09560229445506</v>
      </c>
      <c r="I42" s="543">
        <v>14188</v>
      </c>
      <c r="J42" s="552">
        <f t="shared" si="3"/>
        <v>84.77533460803059</v>
      </c>
      <c r="K42" s="314">
        <v>11198</v>
      </c>
      <c r="L42" s="331">
        <f t="shared" si="4"/>
        <v>66.909655831739968</v>
      </c>
      <c r="M42" s="917">
        <v>50022</v>
      </c>
      <c r="N42" s="334">
        <v>31609</v>
      </c>
      <c r="O42" s="62">
        <f t="shared" si="5"/>
        <v>63.190196313622003</v>
      </c>
      <c r="P42" s="63">
        <v>59</v>
      </c>
    </row>
    <row r="43" spans="1:16" x14ac:dyDescent="0.2">
      <c r="A43" s="51" t="s">
        <v>37</v>
      </c>
      <c r="B43" s="909">
        <v>24003</v>
      </c>
      <c r="C43" s="314">
        <v>28531</v>
      </c>
      <c r="D43" s="547">
        <f t="shared" si="0"/>
        <v>118.86430862808817</v>
      </c>
      <c r="E43" s="551">
        <v>27586</v>
      </c>
      <c r="F43" s="552">
        <f t="shared" si="1"/>
        <v>114.92730075407241</v>
      </c>
      <c r="G43" s="314">
        <v>28627</v>
      </c>
      <c r="H43" s="331">
        <f t="shared" si="2"/>
        <v>119.26425863433738</v>
      </c>
      <c r="I43" s="543">
        <v>20546</v>
      </c>
      <c r="J43" s="552">
        <f t="shared" si="3"/>
        <v>85.597633629129689</v>
      </c>
      <c r="K43" s="314">
        <v>17122</v>
      </c>
      <c r="L43" s="331">
        <f t="shared" si="4"/>
        <v>71.332750072907558</v>
      </c>
      <c r="M43" s="917">
        <v>98987</v>
      </c>
      <c r="N43" s="334">
        <v>93115</v>
      </c>
      <c r="O43" s="62">
        <f t="shared" si="5"/>
        <v>94.067907907098913</v>
      </c>
      <c r="P43" s="63"/>
    </row>
    <row r="44" spans="1:16" x14ac:dyDescent="0.2">
      <c r="A44" s="51" t="s">
        <v>38</v>
      </c>
      <c r="B44" s="909">
        <v>40741</v>
      </c>
      <c r="C44" s="314">
        <v>36739</v>
      </c>
      <c r="D44" s="547">
        <f t="shared" si="0"/>
        <v>90.176971601089804</v>
      </c>
      <c r="E44" s="551">
        <v>35438</v>
      </c>
      <c r="F44" s="552">
        <f t="shared" si="1"/>
        <v>86.983628286001817</v>
      </c>
      <c r="G44" s="314">
        <v>38212</v>
      </c>
      <c r="H44" s="331">
        <f t="shared" si="2"/>
        <v>93.792494047765146</v>
      </c>
      <c r="I44" s="543">
        <v>31680</v>
      </c>
      <c r="J44" s="552">
        <f t="shared" si="3"/>
        <v>77.759505166785303</v>
      </c>
      <c r="K44" s="314">
        <v>26400</v>
      </c>
      <c r="L44" s="331">
        <f t="shared" si="4"/>
        <v>64.799587638987759</v>
      </c>
      <c r="M44" s="917">
        <v>108817</v>
      </c>
      <c r="N44" s="334">
        <v>28552</v>
      </c>
      <c r="O44" s="62">
        <f t="shared" si="5"/>
        <v>26.238547285810121</v>
      </c>
      <c r="P44" s="63">
        <v>71.099999999999994</v>
      </c>
    </row>
    <row r="45" spans="1:16" x14ac:dyDescent="0.2">
      <c r="A45" s="51" t="s">
        <v>39</v>
      </c>
      <c r="B45" s="909">
        <v>714</v>
      </c>
      <c r="C45" s="314">
        <v>139</v>
      </c>
      <c r="D45" s="547">
        <f t="shared" si="0"/>
        <v>19.46778711484594</v>
      </c>
      <c r="E45" s="551">
        <v>139</v>
      </c>
      <c r="F45" s="552">
        <f t="shared" si="1"/>
        <v>19.46778711484594</v>
      </c>
      <c r="G45" s="314">
        <v>198</v>
      </c>
      <c r="H45" s="331">
        <f t="shared" si="2"/>
        <v>27.731092436974791</v>
      </c>
      <c r="I45" s="543">
        <v>116</v>
      </c>
      <c r="J45" s="552">
        <f t="shared" si="3"/>
        <v>16.246498599439775</v>
      </c>
      <c r="K45" s="314">
        <v>97</v>
      </c>
      <c r="L45" s="331">
        <f t="shared" si="4"/>
        <v>13.585434173669467</v>
      </c>
      <c r="M45" s="917">
        <v>2709</v>
      </c>
      <c r="N45" s="334">
        <v>0</v>
      </c>
      <c r="O45" s="62">
        <f t="shared" si="5"/>
        <v>0</v>
      </c>
      <c r="P45" s="63">
        <v>100</v>
      </c>
    </row>
    <row r="46" spans="1:16" ht="13.5" thickBot="1" x14ac:dyDescent="0.25">
      <c r="A46" s="321" t="s">
        <v>40</v>
      </c>
      <c r="B46" s="911">
        <v>1346</v>
      </c>
      <c r="C46" s="329">
        <v>1006</v>
      </c>
      <c r="D46" s="548">
        <f t="shared" si="0"/>
        <v>74.739970282317984</v>
      </c>
      <c r="E46" s="553">
        <v>1014</v>
      </c>
      <c r="F46" s="554">
        <f t="shared" si="1"/>
        <v>75.334323922734029</v>
      </c>
      <c r="G46" s="329">
        <v>1499</v>
      </c>
      <c r="H46" s="332">
        <f t="shared" si="2"/>
        <v>111.36701337295692</v>
      </c>
      <c r="I46" s="545">
        <v>864</v>
      </c>
      <c r="J46" s="554">
        <f t="shared" si="3"/>
        <v>64.190193164933135</v>
      </c>
      <c r="K46" s="329">
        <v>720</v>
      </c>
      <c r="L46" s="332">
        <f t="shared" si="4"/>
        <v>53.491827637444281</v>
      </c>
      <c r="M46" s="918">
        <v>3465</v>
      </c>
      <c r="N46" s="335">
        <v>2680</v>
      </c>
      <c r="O46" s="67">
        <f t="shared" si="5"/>
        <v>77.344877344877347</v>
      </c>
      <c r="P46" s="63">
        <v>88</v>
      </c>
    </row>
    <row r="47" spans="1:16" ht="13.5" thickBot="1" x14ac:dyDescent="0.25">
      <c r="A47" s="68" t="s">
        <v>41</v>
      </c>
      <c r="B47" s="915">
        <f>SUM(B11:B46)</f>
        <v>816780</v>
      </c>
      <c r="C47" s="322">
        <f>SUM(C11:C46)</f>
        <v>771785.6</v>
      </c>
      <c r="D47" s="323">
        <f t="shared" si="0"/>
        <v>94.491246112784339</v>
      </c>
      <c r="E47" s="324">
        <f>SUM(E11:E46)</f>
        <v>766642</v>
      </c>
      <c r="F47" s="325">
        <f t="shared" si="1"/>
        <v>93.861504934009162</v>
      </c>
      <c r="G47" s="324">
        <f>SUM(G11:G46)</f>
        <v>837014.8</v>
      </c>
      <c r="H47" s="325">
        <f t="shared" si="2"/>
        <v>102.47738681162615</v>
      </c>
      <c r="I47" s="324">
        <f>SUM(I11:I46)</f>
        <v>670409.6</v>
      </c>
      <c r="J47" s="325">
        <f t="shared" si="3"/>
        <v>82.07958079286955</v>
      </c>
      <c r="K47" s="324">
        <f>SUM(K11:K46)</f>
        <v>574229</v>
      </c>
      <c r="L47" s="325">
        <f t="shared" si="4"/>
        <v>70.303998628761718</v>
      </c>
      <c r="M47" s="324">
        <f>SUM(M11:M46)</f>
        <v>2358652</v>
      </c>
      <c r="N47" s="326">
        <v>1509734</v>
      </c>
      <c r="O47" s="327">
        <f t="shared" si="5"/>
        <v>64.008340357119238</v>
      </c>
      <c r="P47" s="40"/>
    </row>
    <row r="48" spans="1:16" x14ac:dyDescent="0.2">
      <c r="A48" s="316" t="s">
        <v>47</v>
      </c>
      <c r="B48" s="317"/>
      <c r="C48" s="317"/>
      <c r="D48" s="317"/>
      <c r="E48" s="317"/>
      <c r="F48" s="318"/>
      <c r="G48" s="317"/>
      <c r="H48" s="317"/>
      <c r="I48" s="317"/>
      <c r="J48" s="318"/>
      <c r="K48" s="317"/>
      <c r="L48" s="317"/>
      <c r="M48" s="317"/>
      <c r="N48" s="318"/>
      <c r="O48" s="317"/>
    </row>
    <row r="49" spans="1:6" x14ac:dyDescent="0.2">
      <c r="A49" s="17" t="s">
        <v>153</v>
      </c>
      <c r="B49" s="17">
        <f>B14+B15</f>
        <v>43036</v>
      </c>
      <c r="E49" s="17">
        <f>E14+E15</f>
        <v>34823</v>
      </c>
      <c r="F49" s="61">
        <f>E49/$B49*100</f>
        <v>80.915977321312397</v>
      </c>
    </row>
    <row r="50" spans="1:6" x14ac:dyDescent="0.2">
      <c r="A50" s="17" t="s">
        <v>154</v>
      </c>
      <c r="B50" s="17">
        <f>B17+B18</f>
        <v>38760</v>
      </c>
      <c r="E50" s="17">
        <f>E17+E18</f>
        <v>37706</v>
      </c>
      <c r="F50" s="61">
        <f>E50/$B50*100</f>
        <v>97.280701754385973</v>
      </c>
    </row>
    <row r="51" spans="1:6" x14ac:dyDescent="0.2">
      <c r="A51" s="17" t="s">
        <v>155</v>
      </c>
      <c r="B51" s="17">
        <f>B32+B33</f>
        <v>32250</v>
      </c>
      <c r="E51" s="17">
        <f>E32+E33</f>
        <v>31475</v>
      </c>
      <c r="F51" s="61">
        <f>E51/$B51*100</f>
        <v>97.596899224806194</v>
      </c>
    </row>
  </sheetData>
  <mergeCells count="2">
    <mergeCell ref="B8:O8"/>
    <mergeCell ref="B9:O9"/>
  </mergeCells>
  <phoneticPr fontId="11" type="noConversion"/>
  <printOptions horizontalCentered="1" verticalCentered="1"/>
  <pageMargins left="0.47244094488188981" right="0.27559055118110237" top="0.78740157480314965" bottom="0.35433070866141736" header="0" footer="0"/>
  <pageSetup scale="90" orientation="landscape" horizontalDpi="4294967295" verticalDpi="4294967295" r:id="rId1"/>
  <headerFooter alignWithMargins="0">
    <oddHeader>&amp;L                 &amp;G&amp;C&amp;"Arial,Negrita"MINISTERIO DE LA PROTECCION SOCIAL
República de Colombia
Dirección General de Salud Pública
Programa Ampliado de Inmunizaciones - PAI</oddHeader>
    <oddFooter>&amp;C&amp;F</oddFooter>
  </headerFooter>
  <drawing r:id="rId2"/>
  <legacyDrawingHF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FF"/>
  </sheetPr>
  <dimension ref="A1:BB69"/>
  <sheetViews>
    <sheetView zoomScale="90" zoomScaleNormal="90" workbookViewId="0">
      <pane xSplit="3" ySplit="9" topLeftCell="D10" activePane="bottomRight" state="frozen"/>
      <selection activeCell="G30" sqref="G30"/>
      <selection pane="topRight" activeCell="G30" sqref="G30"/>
      <selection pane="bottomLeft" activeCell="G30" sqref="G30"/>
      <selection pane="bottomRight" activeCell="D10" sqref="D10"/>
    </sheetView>
  </sheetViews>
  <sheetFormatPr baseColWidth="10" defaultRowHeight="12" x14ac:dyDescent="0.2"/>
  <cols>
    <col min="1" max="1" width="6.85546875" style="703" bestFit="1" customWidth="1"/>
    <col min="2" max="2" width="19.7109375" style="703" customWidth="1"/>
    <col min="3" max="3" width="14.140625" style="703" customWidth="1"/>
    <col min="4" max="4" width="11.7109375" style="703" customWidth="1"/>
    <col min="5" max="5" width="8.7109375" style="703" customWidth="1"/>
    <col min="6" max="6" width="11.7109375" style="703" customWidth="1"/>
    <col min="7" max="7" width="8.7109375" style="703" customWidth="1"/>
    <col min="8" max="8" width="11.7109375" style="703" customWidth="1"/>
    <col min="9" max="9" width="8.7109375" style="703" customWidth="1"/>
    <col min="10" max="10" width="11.7109375" style="703" customWidth="1"/>
    <col min="11" max="11" width="8.7109375" style="703" customWidth="1"/>
    <col min="12" max="12" width="11.7109375" style="703" customWidth="1"/>
    <col min="13" max="13" width="8.7109375" style="703" customWidth="1"/>
    <col min="14" max="14" width="11.7109375" style="703" customWidth="1"/>
    <col min="15" max="15" width="8.7109375" style="703" customWidth="1"/>
    <col min="16" max="16" width="11.7109375" style="703" customWidth="1"/>
    <col min="17" max="17" width="8.7109375" style="703" customWidth="1"/>
    <col min="18" max="18" width="11.7109375" style="703" customWidth="1"/>
    <col min="19" max="19" width="8.7109375" style="703" customWidth="1"/>
    <col min="20" max="20" width="11.7109375" style="703" customWidth="1"/>
    <col min="21" max="21" width="8.7109375" style="703" customWidth="1"/>
    <col min="22" max="22" width="11.7109375" style="703" customWidth="1"/>
    <col min="23" max="23" width="8.7109375" style="703" customWidth="1"/>
    <col min="24" max="24" width="12.7109375" style="703" customWidth="1"/>
    <col min="25" max="25" width="11.7109375" style="703" customWidth="1"/>
    <col min="26" max="26" width="8.7109375" style="703" customWidth="1"/>
    <col min="27" max="27" width="11.7109375" style="703" customWidth="1"/>
    <col min="28" max="28" width="8.7109375" style="703" customWidth="1"/>
    <col min="29" max="29" width="11.7109375" style="703" customWidth="1"/>
    <col min="30" max="30" width="9.7109375" style="703" customWidth="1"/>
    <col min="31" max="31" width="11.7109375" style="703" customWidth="1"/>
    <col min="32" max="32" width="9.7109375" style="703" customWidth="1"/>
    <col min="33" max="33" width="11.7109375" style="703" customWidth="1"/>
    <col min="34" max="34" width="9.7109375" style="703" customWidth="1"/>
    <col min="35" max="35" width="11.7109375" style="703" customWidth="1"/>
    <col min="36" max="36" width="9.7109375" style="703" customWidth="1"/>
    <col min="37" max="39" width="11.7109375" style="703" customWidth="1"/>
    <col min="40" max="40" width="8.7109375" style="703" customWidth="1"/>
    <col min="41" max="41" width="11.7109375" style="703" customWidth="1"/>
    <col min="42" max="42" width="8.7109375" style="703" customWidth="1"/>
    <col min="43" max="43" width="11.7109375" style="703" customWidth="1"/>
    <col min="44" max="44" width="8.7109375" style="703" customWidth="1"/>
    <col min="45" max="45" width="13.85546875" style="703" customWidth="1"/>
    <col min="46" max="46" width="11.7109375" style="703" customWidth="1"/>
    <col min="47" max="47" width="8.7109375" style="703" customWidth="1"/>
    <col min="48" max="48" width="11.7109375" style="703" customWidth="1"/>
    <col min="49" max="49" width="8.7109375" style="703" customWidth="1"/>
    <col min="50" max="50" width="11.7109375" style="703" customWidth="1"/>
    <col min="51" max="51" width="8.7109375" style="703" customWidth="1"/>
    <col min="52" max="54" width="11.7109375" style="703" customWidth="1"/>
    <col min="55" max="16384" width="11.42578125" style="703"/>
  </cols>
  <sheetData>
    <row r="1" spans="1:54" s="622" customFormat="1" x14ac:dyDescent="0.2"/>
    <row r="2" spans="1:54" s="622" customFormat="1" x14ac:dyDescent="0.2"/>
    <row r="3" spans="1:54" s="622" customFormat="1" x14ac:dyDescent="0.2"/>
    <row r="5" spans="1:54" x14ac:dyDescent="0.2">
      <c r="A5" s="702" t="s">
        <v>305</v>
      </c>
      <c r="C5" s="704" t="s">
        <v>308</v>
      </c>
    </row>
    <row r="6" spans="1:54" x14ac:dyDescent="0.2">
      <c r="A6" s="702" t="s">
        <v>306</v>
      </c>
      <c r="C6" s="705">
        <v>41649</v>
      </c>
    </row>
    <row r="7" spans="1:54" x14ac:dyDescent="0.2">
      <c r="A7" s="702" t="s">
        <v>307</v>
      </c>
      <c r="C7" s="657" t="s">
        <v>309</v>
      </c>
    </row>
    <row r="8" spans="1:54" ht="12.75" thickBot="1" x14ac:dyDescent="0.25"/>
    <row r="9" spans="1:54" s="706" customFormat="1" ht="62.25" customHeight="1" thickBot="1" x14ac:dyDescent="0.25">
      <c r="A9" s="659" t="s">
        <v>140</v>
      </c>
      <c r="B9" s="658" t="s">
        <v>210</v>
      </c>
      <c r="C9" s="660" t="s">
        <v>291</v>
      </c>
      <c r="D9" s="661" t="s">
        <v>158</v>
      </c>
      <c r="E9" s="662" t="s">
        <v>159</v>
      </c>
      <c r="F9" s="663" t="s">
        <v>160</v>
      </c>
      <c r="G9" s="664" t="s">
        <v>161</v>
      </c>
      <c r="H9" s="665" t="s">
        <v>162</v>
      </c>
      <c r="I9" s="666" t="s">
        <v>163</v>
      </c>
      <c r="J9" s="667" t="s">
        <v>237</v>
      </c>
      <c r="K9" s="668" t="s">
        <v>164</v>
      </c>
      <c r="L9" s="621" t="s">
        <v>165</v>
      </c>
      <c r="M9" s="670" t="s">
        <v>166</v>
      </c>
      <c r="N9" s="671" t="s">
        <v>226</v>
      </c>
      <c r="O9" s="672" t="s">
        <v>285</v>
      </c>
      <c r="P9" s="673" t="s">
        <v>170</v>
      </c>
      <c r="Q9" s="674" t="s">
        <v>171</v>
      </c>
      <c r="R9" s="675" t="s">
        <v>172</v>
      </c>
      <c r="S9" s="676" t="s">
        <v>173</v>
      </c>
      <c r="T9" s="677" t="s">
        <v>174</v>
      </c>
      <c r="U9" s="678" t="s">
        <v>175</v>
      </c>
      <c r="V9" s="679" t="s">
        <v>292</v>
      </c>
      <c r="W9" s="679" t="s">
        <v>293</v>
      </c>
      <c r="X9" s="680" t="s">
        <v>294</v>
      </c>
      <c r="Y9" s="681" t="s">
        <v>177</v>
      </c>
      <c r="Z9" s="682" t="s">
        <v>178</v>
      </c>
      <c r="AA9" s="683" t="s">
        <v>179</v>
      </c>
      <c r="AB9" s="684" t="s">
        <v>180</v>
      </c>
      <c r="AC9" s="685" t="s">
        <v>181</v>
      </c>
      <c r="AD9" s="686" t="s">
        <v>182</v>
      </c>
      <c r="AE9" s="687" t="s">
        <v>183</v>
      </c>
      <c r="AF9" s="688" t="s">
        <v>184</v>
      </c>
      <c r="AG9" s="685" t="s">
        <v>185</v>
      </c>
      <c r="AH9" s="689" t="s">
        <v>186</v>
      </c>
      <c r="AI9" s="689" t="s">
        <v>187</v>
      </c>
      <c r="AJ9" s="689" t="s">
        <v>188</v>
      </c>
      <c r="AK9" s="689" t="s">
        <v>189</v>
      </c>
      <c r="AL9" s="686" t="s">
        <v>190</v>
      </c>
      <c r="AM9" s="690" t="s">
        <v>295</v>
      </c>
      <c r="AN9" s="690" t="s">
        <v>296</v>
      </c>
      <c r="AO9" s="691" t="s">
        <v>191</v>
      </c>
      <c r="AP9" s="662" t="s">
        <v>192</v>
      </c>
      <c r="AQ9" s="692" t="s">
        <v>193</v>
      </c>
      <c r="AR9" s="693" t="s">
        <v>194</v>
      </c>
      <c r="AS9" s="694" t="s">
        <v>297</v>
      </c>
      <c r="AT9" s="691" t="s">
        <v>195</v>
      </c>
      <c r="AU9" s="662" t="s">
        <v>196</v>
      </c>
      <c r="AV9" s="695" t="s">
        <v>197</v>
      </c>
      <c r="AW9" s="696" t="s">
        <v>198</v>
      </c>
      <c r="AX9" s="697" t="s">
        <v>199</v>
      </c>
      <c r="AY9" s="698" t="s">
        <v>200</v>
      </c>
      <c r="AZ9" s="699" t="s">
        <v>298</v>
      </c>
      <c r="BA9" s="700" t="s">
        <v>299</v>
      </c>
      <c r="BB9" s="701" t="s">
        <v>300</v>
      </c>
    </row>
    <row r="10" spans="1:54" ht="17.100000000000001" customHeight="1" x14ac:dyDescent="0.2">
      <c r="A10" s="623">
        <v>91</v>
      </c>
      <c r="B10" s="564" t="s">
        <v>12</v>
      </c>
      <c r="C10" s="624">
        <v>1990</v>
      </c>
      <c r="D10" s="565">
        <v>1697</v>
      </c>
      <c r="E10" s="566">
        <f t="shared" ref="E10:E46" si="0">ROUND(D10/$C10*100,1)</f>
        <v>85.3</v>
      </c>
      <c r="F10" s="567">
        <v>1691</v>
      </c>
      <c r="G10" s="566">
        <f t="shared" ref="G10:G46" si="1">ROUND(F10/$C10*100,1)</f>
        <v>85</v>
      </c>
      <c r="H10" s="568">
        <v>1707</v>
      </c>
      <c r="I10" s="566">
        <f t="shared" ref="I10:I46" si="2">ROUND(H10/$C10*100,1)</f>
        <v>85.8</v>
      </c>
      <c r="J10" s="568">
        <v>1702</v>
      </c>
      <c r="K10" s="566">
        <f t="shared" ref="K10:K46" si="3">ROUND(J10/$C10*100,1)</f>
        <v>85.5</v>
      </c>
      <c r="L10" s="565">
        <v>1716</v>
      </c>
      <c r="M10" s="566">
        <f t="shared" ref="M10:M46" si="4">ROUND(L10/$C10*100,1)</f>
        <v>86.2</v>
      </c>
      <c r="N10" s="569">
        <v>1474</v>
      </c>
      <c r="O10" s="566">
        <f t="shared" ref="O10:O46" si="5">ROUND(N10/$C10*100,1)</f>
        <v>74.099999999999994</v>
      </c>
      <c r="P10" s="565">
        <v>1493</v>
      </c>
      <c r="Q10" s="566">
        <f>ROUND(P10/C10*100,1)</f>
        <v>75</v>
      </c>
      <c r="R10" s="568">
        <v>1479</v>
      </c>
      <c r="S10" s="566">
        <f t="shared" ref="S10:S46" si="6">ROUND(R10/$C10*100,1)</f>
        <v>74.3</v>
      </c>
      <c r="T10" s="570">
        <v>510</v>
      </c>
      <c r="U10" s="571">
        <f>ROUND(T10/($C10/2)*100,1)</f>
        <v>51.3</v>
      </c>
      <c r="V10" s="570">
        <v>1132</v>
      </c>
      <c r="W10" s="566">
        <f t="shared" ref="W10:W46" si="7">ROUND(V10/$X10*100,1)</f>
        <v>61.6</v>
      </c>
      <c r="X10" s="625">
        <v>1839</v>
      </c>
      <c r="Y10" s="572">
        <v>1863</v>
      </c>
      <c r="Z10" s="566">
        <f t="shared" ref="Z10:Z46" si="8">ROUND(Y10/$X10*100,1)</f>
        <v>101.3</v>
      </c>
      <c r="AA10" s="565">
        <v>1864</v>
      </c>
      <c r="AB10" s="566">
        <f t="shared" ref="AB10:AB46" si="9">ROUND(AA10/$X10*100,1)</f>
        <v>101.4</v>
      </c>
      <c r="AC10" s="567">
        <v>1691</v>
      </c>
      <c r="AD10" s="566">
        <f t="shared" ref="AD10:AD46" si="10">ROUND(AC10/$C10*100,1)</f>
        <v>85</v>
      </c>
      <c r="AE10" s="568">
        <v>1739</v>
      </c>
      <c r="AF10" s="566">
        <f t="shared" ref="AF10:AF46" si="11">ROUND(AE10/$C10*100,1)</f>
        <v>87.4</v>
      </c>
      <c r="AG10" s="568">
        <v>1824</v>
      </c>
      <c r="AH10" s="566">
        <f t="shared" ref="AH10:AH46" si="12">ROUND(AG10/$X10*100,1)</f>
        <v>99.2</v>
      </c>
      <c r="AI10" s="568">
        <v>13</v>
      </c>
      <c r="AJ10" s="573">
        <f>AI10/X10*100</f>
        <v>0.70690592713431211</v>
      </c>
      <c r="AK10" s="568">
        <v>15</v>
      </c>
      <c r="AL10" s="574">
        <v>5</v>
      </c>
      <c r="AM10" s="575">
        <v>1659</v>
      </c>
      <c r="AN10" s="566">
        <f>ROUND(AM10/$X10*100,1)</f>
        <v>90.2</v>
      </c>
      <c r="AO10" s="567">
        <v>1781</v>
      </c>
      <c r="AP10" s="566">
        <f t="shared" ref="AP10:AP46" si="13">ROUND(AO10/$X10*100,1)</f>
        <v>96.8</v>
      </c>
      <c r="AQ10" s="567">
        <v>1781</v>
      </c>
      <c r="AR10" s="566">
        <f t="shared" ref="AR10:AR46" si="14">ROUND(AQ10/$X10*100,1)</f>
        <v>96.8</v>
      </c>
      <c r="AS10" s="626">
        <v>1827</v>
      </c>
      <c r="AT10" s="576">
        <v>1669</v>
      </c>
      <c r="AU10" s="566">
        <f t="shared" ref="AU10:AU46" si="15">ROUND(AT10/$AS10*100,1)</f>
        <v>91.4</v>
      </c>
      <c r="AV10" s="577">
        <v>1668</v>
      </c>
      <c r="AW10" s="566">
        <f t="shared" ref="AW10:AW46" si="16">ROUND(AV10/$AS10*100,1)</f>
        <v>91.3</v>
      </c>
      <c r="AX10" s="578">
        <v>1668</v>
      </c>
      <c r="AY10" s="571">
        <f t="shared" ref="AY10:AY46" si="17">ROUND(AX10/$AS10*100,1)</f>
        <v>91.3</v>
      </c>
      <c r="AZ10" s="578">
        <v>270</v>
      </c>
      <c r="BA10" s="568">
        <v>743</v>
      </c>
      <c r="BB10" s="574">
        <v>320</v>
      </c>
    </row>
    <row r="11" spans="1:54" ht="17.100000000000001" customHeight="1" x14ac:dyDescent="0.2">
      <c r="A11" s="627" t="s">
        <v>141</v>
      </c>
      <c r="B11" s="579" t="s">
        <v>11</v>
      </c>
      <c r="C11" s="628">
        <v>86120</v>
      </c>
      <c r="D11" s="580">
        <v>75258</v>
      </c>
      <c r="E11" s="581">
        <f t="shared" si="0"/>
        <v>87.4</v>
      </c>
      <c r="F11" s="582">
        <v>76499</v>
      </c>
      <c r="G11" s="581">
        <f t="shared" si="1"/>
        <v>88.8</v>
      </c>
      <c r="H11" s="583">
        <v>75730</v>
      </c>
      <c r="I11" s="581">
        <f t="shared" si="2"/>
        <v>87.9</v>
      </c>
      <c r="J11" s="583">
        <v>75456</v>
      </c>
      <c r="K11" s="581">
        <f t="shared" si="3"/>
        <v>87.6</v>
      </c>
      <c r="L11" s="580">
        <v>74944</v>
      </c>
      <c r="M11" s="581">
        <f t="shared" si="4"/>
        <v>87</v>
      </c>
      <c r="N11" s="584">
        <v>73013</v>
      </c>
      <c r="O11" s="581">
        <f t="shared" si="5"/>
        <v>84.8</v>
      </c>
      <c r="P11" s="580">
        <v>74888</v>
      </c>
      <c r="Q11" s="581">
        <f>ROUND(P11/C11*100,1)</f>
        <v>87</v>
      </c>
      <c r="R11" s="583">
        <v>73987</v>
      </c>
      <c r="S11" s="581">
        <f t="shared" si="6"/>
        <v>85.9</v>
      </c>
      <c r="T11" s="585">
        <v>43434</v>
      </c>
      <c r="U11" s="581">
        <f>ROUND(T11/($C11/2)*100,1)</f>
        <v>100.9</v>
      </c>
      <c r="V11" s="585">
        <v>63732</v>
      </c>
      <c r="W11" s="581">
        <f>ROUND(V11/$X11*100,1)</f>
        <v>73.8</v>
      </c>
      <c r="X11" s="629">
        <v>86407</v>
      </c>
      <c r="Y11" s="586">
        <v>79555</v>
      </c>
      <c r="Z11" s="581">
        <f>ROUND(Y11/$X11*100,1)</f>
        <v>92.1</v>
      </c>
      <c r="AA11" s="580">
        <v>72482</v>
      </c>
      <c r="AB11" s="581">
        <f t="shared" si="9"/>
        <v>83.9</v>
      </c>
      <c r="AC11" s="582">
        <v>77689</v>
      </c>
      <c r="AD11" s="581">
        <f t="shared" si="10"/>
        <v>90.2</v>
      </c>
      <c r="AE11" s="583">
        <v>77046</v>
      </c>
      <c r="AF11" s="581">
        <f t="shared" si="11"/>
        <v>89.5</v>
      </c>
      <c r="AG11" s="583">
        <v>69384</v>
      </c>
      <c r="AH11" s="581">
        <f t="shared" si="12"/>
        <v>80.3</v>
      </c>
      <c r="AI11" s="583">
        <v>890</v>
      </c>
      <c r="AJ11" s="587">
        <f>AI11/X11*100</f>
        <v>1.0300091427777842</v>
      </c>
      <c r="AK11" s="583">
        <v>1074</v>
      </c>
      <c r="AL11" s="588">
        <v>1435</v>
      </c>
      <c r="AM11" s="589">
        <v>71103</v>
      </c>
      <c r="AN11" s="581">
        <f t="shared" ref="AN11:AN46" si="18">ROUND(AM11/$X11*100,1)</f>
        <v>82.3</v>
      </c>
      <c r="AO11" s="582">
        <v>70952</v>
      </c>
      <c r="AP11" s="581">
        <f t="shared" si="13"/>
        <v>82.1</v>
      </c>
      <c r="AQ11" s="582">
        <v>70379</v>
      </c>
      <c r="AR11" s="581">
        <f t="shared" si="14"/>
        <v>81.5</v>
      </c>
      <c r="AS11" s="630">
        <v>86170</v>
      </c>
      <c r="AT11" s="590">
        <v>85282</v>
      </c>
      <c r="AU11" s="581">
        <f t="shared" si="15"/>
        <v>99</v>
      </c>
      <c r="AV11" s="591">
        <v>85284</v>
      </c>
      <c r="AW11" s="581">
        <f t="shared" si="16"/>
        <v>99</v>
      </c>
      <c r="AX11" s="589">
        <v>86578</v>
      </c>
      <c r="AY11" s="592">
        <f t="shared" si="17"/>
        <v>100.5</v>
      </c>
      <c r="AZ11" s="589">
        <v>30412</v>
      </c>
      <c r="BA11" s="583">
        <v>219669</v>
      </c>
      <c r="BB11" s="588">
        <v>71127</v>
      </c>
    </row>
    <row r="12" spans="1:54" ht="17.100000000000001" customHeight="1" x14ac:dyDescent="0.2">
      <c r="A12" s="631" t="s">
        <v>255</v>
      </c>
      <c r="B12" s="593" t="s">
        <v>13</v>
      </c>
      <c r="C12" s="628">
        <v>4805</v>
      </c>
      <c r="D12" s="580">
        <v>4396</v>
      </c>
      <c r="E12" s="581">
        <f t="shared" si="0"/>
        <v>91.5</v>
      </c>
      <c r="F12" s="582">
        <v>4281</v>
      </c>
      <c r="G12" s="581">
        <f t="shared" si="1"/>
        <v>89.1</v>
      </c>
      <c r="H12" s="583">
        <v>4325</v>
      </c>
      <c r="I12" s="581">
        <f t="shared" si="2"/>
        <v>90</v>
      </c>
      <c r="J12" s="583">
        <v>4396</v>
      </c>
      <c r="K12" s="581">
        <f t="shared" si="3"/>
        <v>91.5</v>
      </c>
      <c r="L12" s="580">
        <v>3971</v>
      </c>
      <c r="M12" s="581">
        <f t="shared" si="4"/>
        <v>82.6</v>
      </c>
      <c r="N12" s="584">
        <v>3866</v>
      </c>
      <c r="O12" s="581">
        <f t="shared" si="5"/>
        <v>80.5</v>
      </c>
      <c r="P12" s="580">
        <v>4107</v>
      </c>
      <c r="Q12" s="581">
        <f t="shared" ref="Q12:Q46" si="19">ROUND(P12/C12*100,1)</f>
        <v>85.5</v>
      </c>
      <c r="R12" s="583">
        <v>4126</v>
      </c>
      <c r="S12" s="581">
        <f t="shared" si="6"/>
        <v>85.9</v>
      </c>
      <c r="T12" s="585">
        <v>1348</v>
      </c>
      <c r="U12" s="581">
        <f t="shared" ref="U12:U46" si="20">ROUND(T12/($C12/2)*100,1)</f>
        <v>56.1</v>
      </c>
      <c r="V12" s="585">
        <v>2512</v>
      </c>
      <c r="W12" s="581">
        <f t="shared" si="7"/>
        <v>51.1</v>
      </c>
      <c r="X12" s="629">
        <v>4918</v>
      </c>
      <c r="Y12" s="586">
        <v>4652</v>
      </c>
      <c r="Z12" s="581">
        <f t="shared" si="8"/>
        <v>94.6</v>
      </c>
      <c r="AA12" s="580">
        <v>4653</v>
      </c>
      <c r="AB12" s="581">
        <f t="shared" si="9"/>
        <v>94.6</v>
      </c>
      <c r="AC12" s="582">
        <v>4321</v>
      </c>
      <c r="AD12" s="581">
        <f t="shared" si="10"/>
        <v>89.9</v>
      </c>
      <c r="AE12" s="583">
        <v>4330</v>
      </c>
      <c r="AF12" s="581">
        <f t="shared" si="11"/>
        <v>90.1</v>
      </c>
      <c r="AG12" s="583">
        <v>4536</v>
      </c>
      <c r="AH12" s="581">
        <f t="shared" si="12"/>
        <v>92.2</v>
      </c>
      <c r="AI12" s="583">
        <v>81</v>
      </c>
      <c r="AJ12" s="587">
        <f t="shared" ref="AJ12:AJ46" si="21">AI12/X12*100</f>
        <v>1.6470109800732005</v>
      </c>
      <c r="AK12" s="583">
        <v>83</v>
      </c>
      <c r="AL12" s="588">
        <v>88</v>
      </c>
      <c r="AM12" s="589">
        <v>4328</v>
      </c>
      <c r="AN12" s="581">
        <f t="shared" si="18"/>
        <v>88</v>
      </c>
      <c r="AO12" s="582">
        <v>4508</v>
      </c>
      <c r="AP12" s="581">
        <f t="shared" si="13"/>
        <v>91.7</v>
      </c>
      <c r="AQ12" s="582">
        <v>4506</v>
      </c>
      <c r="AR12" s="581">
        <f t="shared" si="14"/>
        <v>91.6</v>
      </c>
      <c r="AS12" s="630">
        <v>5045</v>
      </c>
      <c r="AT12" s="590">
        <v>4732</v>
      </c>
      <c r="AU12" s="581">
        <f t="shared" si="15"/>
        <v>93.8</v>
      </c>
      <c r="AV12" s="591">
        <v>4732</v>
      </c>
      <c r="AW12" s="581">
        <f t="shared" si="16"/>
        <v>93.8</v>
      </c>
      <c r="AX12" s="589">
        <v>4729</v>
      </c>
      <c r="AY12" s="592">
        <f t="shared" si="17"/>
        <v>93.7</v>
      </c>
      <c r="AZ12" s="589">
        <v>689</v>
      </c>
      <c r="BA12" s="583">
        <v>3782</v>
      </c>
      <c r="BB12" s="588">
        <v>987</v>
      </c>
    </row>
    <row r="13" spans="1:54" ht="17.100000000000001" customHeight="1" x14ac:dyDescent="0.2">
      <c r="A13" s="631" t="s">
        <v>142</v>
      </c>
      <c r="B13" s="593" t="s">
        <v>14</v>
      </c>
      <c r="C13" s="628">
        <v>23023</v>
      </c>
      <c r="D13" s="580">
        <v>20785</v>
      </c>
      <c r="E13" s="581">
        <f t="shared" si="0"/>
        <v>90.3</v>
      </c>
      <c r="F13" s="582">
        <v>19429</v>
      </c>
      <c r="G13" s="581">
        <f t="shared" si="1"/>
        <v>84.4</v>
      </c>
      <c r="H13" s="583">
        <v>20117</v>
      </c>
      <c r="I13" s="581">
        <f t="shared" si="2"/>
        <v>87.4</v>
      </c>
      <c r="J13" s="583">
        <v>20809</v>
      </c>
      <c r="K13" s="581">
        <f t="shared" si="3"/>
        <v>90.4</v>
      </c>
      <c r="L13" s="580">
        <v>19635</v>
      </c>
      <c r="M13" s="581">
        <f t="shared" si="4"/>
        <v>85.3</v>
      </c>
      <c r="N13" s="584">
        <v>18752</v>
      </c>
      <c r="O13" s="581">
        <f t="shared" si="5"/>
        <v>81.400000000000006</v>
      </c>
      <c r="P13" s="580">
        <v>19228</v>
      </c>
      <c r="Q13" s="581">
        <f t="shared" si="19"/>
        <v>83.5</v>
      </c>
      <c r="R13" s="583">
        <v>19866</v>
      </c>
      <c r="S13" s="581">
        <f t="shared" si="6"/>
        <v>86.3</v>
      </c>
      <c r="T13" s="585">
        <v>5782</v>
      </c>
      <c r="U13" s="581">
        <f t="shared" si="20"/>
        <v>50.2</v>
      </c>
      <c r="V13" s="585">
        <v>8162</v>
      </c>
      <c r="W13" s="581">
        <f t="shared" si="7"/>
        <v>35.4</v>
      </c>
      <c r="X13" s="629">
        <v>23050</v>
      </c>
      <c r="Y13" s="586">
        <v>21381</v>
      </c>
      <c r="Z13" s="581">
        <f t="shared" si="8"/>
        <v>92.8</v>
      </c>
      <c r="AA13" s="580">
        <v>21519</v>
      </c>
      <c r="AB13" s="581">
        <f t="shared" si="9"/>
        <v>93.4</v>
      </c>
      <c r="AC13" s="582">
        <v>19482</v>
      </c>
      <c r="AD13" s="581">
        <f t="shared" si="10"/>
        <v>84.6</v>
      </c>
      <c r="AE13" s="583">
        <v>20238</v>
      </c>
      <c r="AF13" s="581">
        <f t="shared" si="11"/>
        <v>87.9</v>
      </c>
      <c r="AG13" s="583">
        <v>21270</v>
      </c>
      <c r="AH13" s="581">
        <f t="shared" si="12"/>
        <v>92.3</v>
      </c>
      <c r="AI13" s="583">
        <v>240</v>
      </c>
      <c r="AJ13" s="587">
        <f t="shared" si="21"/>
        <v>1.0412147505422993</v>
      </c>
      <c r="AK13" s="583">
        <v>171</v>
      </c>
      <c r="AL13" s="588">
        <v>501</v>
      </c>
      <c r="AM13" s="589">
        <v>17487</v>
      </c>
      <c r="AN13" s="581">
        <f t="shared" si="18"/>
        <v>75.900000000000006</v>
      </c>
      <c r="AO13" s="582">
        <v>20706</v>
      </c>
      <c r="AP13" s="581">
        <f t="shared" si="13"/>
        <v>89.8</v>
      </c>
      <c r="AQ13" s="582">
        <v>20666</v>
      </c>
      <c r="AR13" s="581">
        <f t="shared" si="14"/>
        <v>89.7</v>
      </c>
      <c r="AS13" s="630">
        <v>23107</v>
      </c>
      <c r="AT13" s="590">
        <v>20427</v>
      </c>
      <c r="AU13" s="581">
        <f t="shared" si="15"/>
        <v>88.4</v>
      </c>
      <c r="AV13" s="591">
        <v>20471</v>
      </c>
      <c r="AW13" s="581">
        <f t="shared" si="16"/>
        <v>88.6</v>
      </c>
      <c r="AX13" s="589">
        <v>20252</v>
      </c>
      <c r="AY13" s="592">
        <f t="shared" si="17"/>
        <v>87.6</v>
      </c>
      <c r="AZ13" s="589">
        <v>11027</v>
      </c>
      <c r="BA13" s="583">
        <v>10970</v>
      </c>
      <c r="BB13" s="588">
        <v>5105</v>
      </c>
    </row>
    <row r="14" spans="1:54" ht="17.100000000000001" customHeight="1" x14ac:dyDescent="0.2">
      <c r="A14" s="632" t="s">
        <v>245</v>
      </c>
      <c r="B14" s="594" t="s">
        <v>115</v>
      </c>
      <c r="C14" s="633">
        <v>19519</v>
      </c>
      <c r="D14" s="580">
        <v>19266</v>
      </c>
      <c r="E14" s="581">
        <f t="shared" si="0"/>
        <v>98.7</v>
      </c>
      <c r="F14" s="582">
        <v>20559</v>
      </c>
      <c r="G14" s="581">
        <f t="shared" si="1"/>
        <v>105.3</v>
      </c>
      <c r="H14" s="580">
        <v>19812</v>
      </c>
      <c r="I14" s="581">
        <f t="shared" si="2"/>
        <v>101.5</v>
      </c>
      <c r="J14" s="580">
        <v>19301</v>
      </c>
      <c r="K14" s="581">
        <f t="shared" si="3"/>
        <v>98.9</v>
      </c>
      <c r="L14" s="580">
        <v>21076</v>
      </c>
      <c r="M14" s="581">
        <f t="shared" si="4"/>
        <v>108</v>
      </c>
      <c r="N14" s="584">
        <v>19794</v>
      </c>
      <c r="O14" s="581">
        <f t="shared" si="5"/>
        <v>101.4</v>
      </c>
      <c r="P14" s="580">
        <v>20009</v>
      </c>
      <c r="Q14" s="581">
        <f t="shared" si="19"/>
        <v>102.5</v>
      </c>
      <c r="R14" s="580">
        <v>19323</v>
      </c>
      <c r="S14" s="581">
        <f t="shared" si="6"/>
        <v>99</v>
      </c>
      <c r="T14" s="585">
        <v>8986</v>
      </c>
      <c r="U14" s="581">
        <f t="shared" si="20"/>
        <v>92.1</v>
      </c>
      <c r="V14" s="585">
        <v>7352</v>
      </c>
      <c r="W14" s="581">
        <f t="shared" si="7"/>
        <v>37.4</v>
      </c>
      <c r="X14" s="634">
        <v>19659</v>
      </c>
      <c r="Y14" s="586">
        <v>20594</v>
      </c>
      <c r="Z14" s="581">
        <f t="shared" si="8"/>
        <v>104.8</v>
      </c>
      <c r="AA14" s="580">
        <v>20624</v>
      </c>
      <c r="AB14" s="581">
        <f t="shared" si="9"/>
        <v>104.9</v>
      </c>
      <c r="AC14" s="582">
        <v>20527</v>
      </c>
      <c r="AD14" s="581">
        <f t="shared" si="10"/>
        <v>105.2</v>
      </c>
      <c r="AE14" s="583">
        <v>20030</v>
      </c>
      <c r="AF14" s="581">
        <f t="shared" si="11"/>
        <v>102.6</v>
      </c>
      <c r="AG14" s="583">
        <v>18014</v>
      </c>
      <c r="AH14" s="581">
        <f t="shared" si="12"/>
        <v>91.6</v>
      </c>
      <c r="AI14" s="583">
        <v>410</v>
      </c>
      <c r="AJ14" s="587">
        <f t="shared" si="21"/>
        <v>2.0855587771504149</v>
      </c>
      <c r="AK14" s="583">
        <v>116</v>
      </c>
      <c r="AL14" s="588">
        <v>214</v>
      </c>
      <c r="AM14" s="589">
        <v>15012</v>
      </c>
      <c r="AN14" s="581">
        <f t="shared" si="18"/>
        <v>76.400000000000006</v>
      </c>
      <c r="AO14" s="582">
        <v>19489</v>
      </c>
      <c r="AP14" s="581">
        <f t="shared" si="13"/>
        <v>99.1</v>
      </c>
      <c r="AQ14" s="582">
        <v>19480</v>
      </c>
      <c r="AR14" s="581">
        <f t="shared" si="14"/>
        <v>99.1</v>
      </c>
      <c r="AS14" s="635">
        <v>20149</v>
      </c>
      <c r="AT14" s="590">
        <v>19411</v>
      </c>
      <c r="AU14" s="581">
        <f t="shared" si="15"/>
        <v>96.3</v>
      </c>
      <c r="AV14" s="591">
        <v>19444</v>
      </c>
      <c r="AW14" s="581">
        <f t="shared" si="16"/>
        <v>96.5</v>
      </c>
      <c r="AX14" s="589">
        <v>18296</v>
      </c>
      <c r="AY14" s="592">
        <f t="shared" si="17"/>
        <v>90.8</v>
      </c>
      <c r="AZ14" s="589">
        <v>10428</v>
      </c>
      <c r="BA14" s="583">
        <v>17737</v>
      </c>
      <c r="BB14" s="588">
        <v>6399</v>
      </c>
    </row>
    <row r="15" spans="1:54" ht="17.100000000000001" customHeight="1" x14ac:dyDescent="0.2">
      <c r="A15" s="631" t="s">
        <v>303</v>
      </c>
      <c r="B15" s="593" t="s">
        <v>116</v>
      </c>
      <c r="C15" s="628">
        <v>112984</v>
      </c>
      <c r="D15" s="580">
        <v>116368</v>
      </c>
      <c r="E15" s="581">
        <f t="shared" si="0"/>
        <v>103</v>
      </c>
      <c r="F15" s="582">
        <v>108508</v>
      </c>
      <c r="G15" s="581">
        <f t="shared" si="1"/>
        <v>96</v>
      </c>
      <c r="H15" s="583">
        <v>112934</v>
      </c>
      <c r="I15" s="581">
        <f t="shared" si="2"/>
        <v>100</v>
      </c>
      <c r="J15" s="583">
        <v>116332</v>
      </c>
      <c r="K15" s="581">
        <f t="shared" si="3"/>
        <v>103</v>
      </c>
      <c r="L15" s="580">
        <v>113701</v>
      </c>
      <c r="M15" s="581">
        <f t="shared" si="4"/>
        <v>100.6</v>
      </c>
      <c r="N15" s="584">
        <v>113072</v>
      </c>
      <c r="O15" s="581">
        <f t="shared" si="5"/>
        <v>100.1</v>
      </c>
      <c r="P15" s="580">
        <v>107785</v>
      </c>
      <c r="Q15" s="581">
        <f t="shared" si="19"/>
        <v>95.4</v>
      </c>
      <c r="R15" s="583">
        <v>111490</v>
      </c>
      <c r="S15" s="581">
        <f t="shared" si="6"/>
        <v>98.7</v>
      </c>
      <c r="T15" s="585">
        <v>39203</v>
      </c>
      <c r="U15" s="581">
        <f t="shared" si="20"/>
        <v>69.400000000000006</v>
      </c>
      <c r="V15" s="585">
        <v>68510</v>
      </c>
      <c r="W15" s="581">
        <f t="shared" si="7"/>
        <v>61</v>
      </c>
      <c r="X15" s="629">
        <v>112335</v>
      </c>
      <c r="Y15" s="586">
        <v>105332</v>
      </c>
      <c r="Z15" s="581">
        <f t="shared" si="8"/>
        <v>93.8</v>
      </c>
      <c r="AA15" s="580">
        <v>107862</v>
      </c>
      <c r="AB15" s="581">
        <f t="shared" si="9"/>
        <v>96</v>
      </c>
      <c r="AC15" s="582">
        <v>108716</v>
      </c>
      <c r="AD15" s="581">
        <f t="shared" si="10"/>
        <v>96.2</v>
      </c>
      <c r="AE15" s="583">
        <v>113082</v>
      </c>
      <c r="AF15" s="581">
        <f t="shared" si="11"/>
        <v>100.1</v>
      </c>
      <c r="AG15" s="583">
        <v>104950</v>
      </c>
      <c r="AH15" s="581">
        <f t="shared" si="12"/>
        <v>93.4</v>
      </c>
      <c r="AI15" s="583">
        <v>266</v>
      </c>
      <c r="AJ15" s="587">
        <f t="shared" si="21"/>
        <v>0.23679173899497039</v>
      </c>
      <c r="AK15" s="583">
        <v>246</v>
      </c>
      <c r="AL15" s="588">
        <v>514</v>
      </c>
      <c r="AM15" s="589">
        <v>81470</v>
      </c>
      <c r="AN15" s="581">
        <f t="shared" si="18"/>
        <v>72.5</v>
      </c>
      <c r="AO15" s="582">
        <v>92473</v>
      </c>
      <c r="AP15" s="581">
        <f t="shared" si="13"/>
        <v>82.3</v>
      </c>
      <c r="AQ15" s="582">
        <v>91315</v>
      </c>
      <c r="AR15" s="581">
        <f t="shared" si="14"/>
        <v>81.3</v>
      </c>
      <c r="AS15" s="630">
        <v>111109</v>
      </c>
      <c r="AT15" s="590">
        <v>103652</v>
      </c>
      <c r="AU15" s="581">
        <f t="shared" si="15"/>
        <v>93.3</v>
      </c>
      <c r="AV15" s="591">
        <v>104433</v>
      </c>
      <c r="AW15" s="581">
        <f t="shared" si="16"/>
        <v>94</v>
      </c>
      <c r="AX15" s="589">
        <v>79235</v>
      </c>
      <c r="AY15" s="592">
        <f t="shared" si="17"/>
        <v>71.3</v>
      </c>
      <c r="AZ15" s="589">
        <v>50707</v>
      </c>
      <c r="BA15" s="583">
        <v>315402</v>
      </c>
      <c r="BB15" s="588">
        <v>0</v>
      </c>
    </row>
    <row r="16" spans="1:54" ht="17.100000000000001" customHeight="1" x14ac:dyDescent="0.2">
      <c r="A16" s="631" t="s">
        <v>256</v>
      </c>
      <c r="B16" s="593" t="s">
        <v>62</v>
      </c>
      <c r="C16" s="628">
        <v>25248</v>
      </c>
      <c r="D16" s="580">
        <v>20951</v>
      </c>
      <c r="E16" s="581">
        <f t="shared" si="0"/>
        <v>83</v>
      </c>
      <c r="F16" s="582">
        <v>19262</v>
      </c>
      <c r="G16" s="581">
        <f t="shared" si="1"/>
        <v>76.3</v>
      </c>
      <c r="H16" s="583">
        <v>19566</v>
      </c>
      <c r="I16" s="581">
        <f t="shared" si="2"/>
        <v>77.5</v>
      </c>
      <c r="J16" s="583">
        <v>20903</v>
      </c>
      <c r="K16" s="581">
        <f t="shared" si="3"/>
        <v>82.8</v>
      </c>
      <c r="L16" s="580">
        <v>14257</v>
      </c>
      <c r="M16" s="581">
        <f t="shared" si="4"/>
        <v>56.5</v>
      </c>
      <c r="N16" s="584">
        <v>11679</v>
      </c>
      <c r="O16" s="581">
        <f t="shared" si="5"/>
        <v>46.3</v>
      </c>
      <c r="P16" s="580">
        <v>18624</v>
      </c>
      <c r="Q16" s="581">
        <f t="shared" si="19"/>
        <v>73.8</v>
      </c>
      <c r="R16" s="583">
        <v>18838</v>
      </c>
      <c r="S16" s="581">
        <f t="shared" si="6"/>
        <v>74.599999999999994</v>
      </c>
      <c r="T16" s="585">
        <v>11107</v>
      </c>
      <c r="U16" s="581">
        <f t="shared" si="20"/>
        <v>88</v>
      </c>
      <c r="V16" s="585">
        <v>14222</v>
      </c>
      <c r="W16" s="581">
        <f t="shared" si="7"/>
        <v>57.3</v>
      </c>
      <c r="X16" s="629">
        <v>24838</v>
      </c>
      <c r="Y16" s="586">
        <v>21444</v>
      </c>
      <c r="Z16" s="581">
        <f t="shared" si="8"/>
        <v>86.3</v>
      </c>
      <c r="AA16" s="580">
        <v>21404</v>
      </c>
      <c r="AB16" s="581">
        <f t="shared" si="9"/>
        <v>86.2</v>
      </c>
      <c r="AC16" s="582">
        <v>19289</v>
      </c>
      <c r="AD16" s="581">
        <f t="shared" si="10"/>
        <v>76.400000000000006</v>
      </c>
      <c r="AE16" s="583">
        <v>19692</v>
      </c>
      <c r="AF16" s="581">
        <f t="shared" si="11"/>
        <v>78</v>
      </c>
      <c r="AG16" s="583">
        <v>20252</v>
      </c>
      <c r="AH16" s="581">
        <f t="shared" si="12"/>
        <v>81.5</v>
      </c>
      <c r="AI16" s="583">
        <v>325</v>
      </c>
      <c r="AJ16" s="587">
        <f t="shared" si="21"/>
        <v>1.3084789435542314</v>
      </c>
      <c r="AK16" s="583">
        <v>208</v>
      </c>
      <c r="AL16" s="588">
        <v>375</v>
      </c>
      <c r="AM16" s="589">
        <v>17633</v>
      </c>
      <c r="AN16" s="581">
        <f t="shared" si="18"/>
        <v>71</v>
      </c>
      <c r="AO16" s="582">
        <v>20571</v>
      </c>
      <c r="AP16" s="581">
        <f t="shared" si="13"/>
        <v>82.8</v>
      </c>
      <c r="AQ16" s="582">
        <v>20550</v>
      </c>
      <c r="AR16" s="581">
        <f t="shared" si="14"/>
        <v>82.7</v>
      </c>
      <c r="AS16" s="630">
        <v>23567</v>
      </c>
      <c r="AT16" s="590">
        <v>19026</v>
      </c>
      <c r="AU16" s="581">
        <f t="shared" si="15"/>
        <v>80.7</v>
      </c>
      <c r="AV16" s="591">
        <v>19167</v>
      </c>
      <c r="AW16" s="581">
        <f t="shared" si="16"/>
        <v>81.3</v>
      </c>
      <c r="AX16" s="589">
        <v>12146</v>
      </c>
      <c r="AY16" s="592">
        <f t="shared" si="17"/>
        <v>51.5</v>
      </c>
      <c r="AZ16" s="589">
        <v>14077</v>
      </c>
      <c r="BA16" s="583">
        <v>36467</v>
      </c>
      <c r="BB16" s="588">
        <v>9400</v>
      </c>
    </row>
    <row r="17" spans="1:54" ht="17.100000000000001" customHeight="1" x14ac:dyDescent="0.2">
      <c r="A17" s="632" t="s">
        <v>257</v>
      </c>
      <c r="B17" s="594" t="s">
        <v>45</v>
      </c>
      <c r="C17" s="633">
        <v>16486</v>
      </c>
      <c r="D17" s="580">
        <v>18084</v>
      </c>
      <c r="E17" s="581">
        <f t="shared" si="0"/>
        <v>109.7</v>
      </c>
      <c r="F17" s="582">
        <v>18388</v>
      </c>
      <c r="G17" s="581">
        <f t="shared" si="1"/>
        <v>111.5</v>
      </c>
      <c r="H17" s="583">
        <v>18173</v>
      </c>
      <c r="I17" s="581">
        <f t="shared" si="2"/>
        <v>110.2</v>
      </c>
      <c r="J17" s="583">
        <v>18056</v>
      </c>
      <c r="K17" s="581">
        <f t="shared" si="3"/>
        <v>109.5</v>
      </c>
      <c r="L17" s="580">
        <v>22328</v>
      </c>
      <c r="M17" s="581">
        <f t="shared" si="4"/>
        <v>135.4</v>
      </c>
      <c r="N17" s="584">
        <v>20705</v>
      </c>
      <c r="O17" s="581">
        <f t="shared" si="5"/>
        <v>125.6</v>
      </c>
      <c r="P17" s="580">
        <v>18025</v>
      </c>
      <c r="Q17" s="581">
        <f t="shared" si="19"/>
        <v>109.3</v>
      </c>
      <c r="R17" s="583">
        <v>17389</v>
      </c>
      <c r="S17" s="581">
        <f t="shared" si="6"/>
        <v>105.5</v>
      </c>
      <c r="T17" s="585">
        <v>9511</v>
      </c>
      <c r="U17" s="581">
        <f t="shared" si="20"/>
        <v>115.4</v>
      </c>
      <c r="V17" s="585">
        <v>12621</v>
      </c>
      <c r="W17" s="581">
        <f t="shared" si="7"/>
        <v>76</v>
      </c>
      <c r="X17" s="634">
        <v>16604</v>
      </c>
      <c r="Y17" s="586">
        <v>18053</v>
      </c>
      <c r="Z17" s="581">
        <f t="shared" si="8"/>
        <v>108.7</v>
      </c>
      <c r="AA17" s="580">
        <v>17957</v>
      </c>
      <c r="AB17" s="581">
        <f t="shared" si="9"/>
        <v>108.1</v>
      </c>
      <c r="AC17" s="582">
        <v>18406</v>
      </c>
      <c r="AD17" s="581">
        <f t="shared" si="10"/>
        <v>111.6</v>
      </c>
      <c r="AE17" s="583">
        <v>18150</v>
      </c>
      <c r="AF17" s="581">
        <f t="shared" si="11"/>
        <v>110.1</v>
      </c>
      <c r="AG17" s="583">
        <v>16992</v>
      </c>
      <c r="AH17" s="581">
        <f t="shared" si="12"/>
        <v>102.3</v>
      </c>
      <c r="AI17" s="583">
        <v>172</v>
      </c>
      <c r="AJ17" s="587">
        <f t="shared" si="21"/>
        <v>1.0358949650686582</v>
      </c>
      <c r="AK17" s="583">
        <v>167</v>
      </c>
      <c r="AL17" s="588">
        <v>18</v>
      </c>
      <c r="AM17" s="589">
        <v>14680</v>
      </c>
      <c r="AN17" s="581">
        <f t="shared" si="18"/>
        <v>88.4</v>
      </c>
      <c r="AO17" s="582">
        <v>17488</v>
      </c>
      <c r="AP17" s="581">
        <f t="shared" si="13"/>
        <v>105.3</v>
      </c>
      <c r="AQ17" s="582">
        <v>18772</v>
      </c>
      <c r="AR17" s="581">
        <f t="shared" si="14"/>
        <v>113.1</v>
      </c>
      <c r="AS17" s="635">
        <v>17086</v>
      </c>
      <c r="AT17" s="590">
        <v>15414</v>
      </c>
      <c r="AU17" s="581">
        <f>ROUND(AT17/$AS17*100,1)</f>
        <v>90.2</v>
      </c>
      <c r="AV17" s="591">
        <v>15250</v>
      </c>
      <c r="AW17" s="581">
        <f>ROUND(AV17/$AS17*100,1)</f>
        <v>89.3</v>
      </c>
      <c r="AX17" s="589">
        <v>9877</v>
      </c>
      <c r="AY17" s="592">
        <f>ROUND(AX17/$AS17*100,1)</f>
        <v>57.8</v>
      </c>
      <c r="AZ17" s="589">
        <v>2259</v>
      </c>
      <c r="BA17" s="583">
        <v>20443</v>
      </c>
      <c r="BB17" s="588">
        <v>9540</v>
      </c>
    </row>
    <row r="18" spans="1:54" ht="17.100000000000001" customHeight="1" x14ac:dyDescent="0.2">
      <c r="A18" s="636" t="s">
        <v>258</v>
      </c>
      <c r="B18" s="595" t="s">
        <v>118</v>
      </c>
      <c r="C18" s="628">
        <v>18961</v>
      </c>
      <c r="D18" s="580">
        <v>17058</v>
      </c>
      <c r="E18" s="581">
        <f t="shared" si="0"/>
        <v>90</v>
      </c>
      <c r="F18" s="582">
        <v>16923</v>
      </c>
      <c r="G18" s="581">
        <f t="shared" si="1"/>
        <v>89.3</v>
      </c>
      <c r="H18" s="580">
        <v>16983</v>
      </c>
      <c r="I18" s="581">
        <f t="shared" si="2"/>
        <v>89.6</v>
      </c>
      <c r="J18" s="580">
        <v>17057</v>
      </c>
      <c r="K18" s="581">
        <f t="shared" si="3"/>
        <v>90</v>
      </c>
      <c r="L18" s="580">
        <v>16694</v>
      </c>
      <c r="M18" s="581">
        <f t="shared" si="4"/>
        <v>88</v>
      </c>
      <c r="N18" s="584">
        <v>16403</v>
      </c>
      <c r="O18" s="581">
        <f t="shared" si="5"/>
        <v>86.5</v>
      </c>
      <c r="P18" s="580">
        <v>16792</v>
      </c>
      <c r="Q18" s="581">
        <f t="shared" si="19"/>
        <v>88.6</v>
      </c>
      <c r="R18" s="580">
        <v>16784</v>
      </c>
      <c r="S18" s="581">
        <f t="shared" si="6"/>
        <v>88.5</v>
      </c>
      <c r="T18" s="585">
        <v>8643</v>
      </c>
      <c r="U18" s="581">
        <f t="shared" si="20"/>
        <v>91.2</v>
      </c>
      <c r="V18" s="585">
        <v>12090</v>
      </c>
      <c r="W18" s="581">
        <f t="shared" si="7"/>
        <v>61</v>
      </c>
      <c r="X18" s="629">
        <v>19808</v>
      </c>
      <c r="Y18" s="586">
        <v>17404</v>
      </c>
      <c r="Z18" s="581">
        <f t="shared" si="8"/>
        <v>87.9</v>
      </c>
      <c r="AA18" s="580">
        <v>17436</v>
      </c>
      <c r="AB18" s="581">
        <f t="shared" si="9"/>
        <v>88</v>
      </c>
      <c r="AC18" s="582">
        <v>16941</v>
      </c>
      <c r="AD18" s="581">
        <f t="shared" si="10"/>
        <v>89.3</v>
      </c>
      <c r="AE18" s="583">
        <v>16987</v>
      </c>
      <c r="AF18" s="581">
        <f t="shared" si="11"/>
        <v>89.6</v>
      </c>
      <c r="AG18" s="583">
        <v>17305</v>
      </c>
      <c r="AH18" s="581">
        <f t="shared" si="12"/>
        <v>87.4</v>
      </c>
      <c r="AI18" s="583">
        <v>939</v>
      </c>
      <c r="AJ18" s="587">
        <f t="shared" si="21"/>
        <v>4.740508885298869</v>
      </c>
      <c r="AK18" s="583">
        <v>38</v>
      </c>
      <c r="AL18" s="588">
        <v>60</v>
      </c>
      <c r="AM18" s="589">
        <v>16154</v>
      </c>
      <c r="AN18" s="581">
        <f t="shared" si="18"/>
        <v>81.599999999999994</v>
      </c>
      <c r="AO18" s="582">
        <v>16886</v>
      </c>
      <c r="AP18" s="581">
        <f t="shared" si="13"/>
        <v>85.2</v>
      </c>
      <c r="AQ18" s="582">
        <v>16877</v>
      </c>
      <c r="AR18" s="581">
        <f t="shared" si="14"/>
        <v>85.2</v>
      </c>
      <c r="AS18" s="630">
        <v>20553</v>
      </c>
      <c r="AT18" s="590">
        <v>18741</v>
      </c>
      <c r="AU18" s="581">
        <f t="shared" si="15"/>
        <v>91.2</v>
      </c>
      <c r="AV18" s="591">
        <v>18738</v>
      </c>
      <c r="AW18" s="581">
        <f t="shared" si="16"/>
        <v>91.2</v>
      </c>
      <c r="AX18" s="589">
        <v>18731</v>
      </c>
      <c r="AY18" s="592">
        <f t="shared" si="17"/>
        <v>91.1</v>
      </c>
      <c r="AZ18" s="589">
        <v>8769</v>
      </c>
      <c r="BA18" s="583">
        <v>41802</v>
      </c>
      <c r="BB18" s="588">
        <v>7367</v>
      </c>
    </row>
    <row r="19" spans="1:54" ht="17.100000000000001" customHeight="1" x14ac:dyDescent="0.2">
      <c r="A19" s="636" t="s">
        <v>259</v>
      </c>
      <c r="B19" s="595" t="s">
        <v>19</v>
      </c>
      <c r="C19" s="628">
        <v>11973</v>
      </c>
      <c r="D19" s="580">
        <v>10167</v>
      </c>
      <c r="E19" s="581">
        <f t="shared" si="0"/>
        <v>84.9</v>
      </c>
      <c r="F19" s="582">
        <v>9554</v>
      </c>
      <c r="G19" s="581">
        <f t="shared" si="1"/>
        <v>79.8</v>
      </c>
      <c r="H19" s="583">
        <v>9668</v>
      </c>
      <c r="I19" s="581">
        <f t="shared" si="2"/>
        <v>80.7</v>
      </c>
      <c r="J19" s="583">
        <v>10173</v>
      </c>
      <c r="K19" s="581">
        <f t="shared" si="3"/>
        <v>85</v>
      </c>
      <c r="L19" s="580">
        <v>10041</v>
      </c>
      <c r="M19" s="581">
        <f t="shared" si="4"/>
        <v>83.9</v>
      </c>
      <c r="N19" s="584">
        <v>9720</v>
      </c>
      <c r="O19" s="581">
        <f t="shared" si="5"/>
        <v>81.2</v>
      </c>
      <c r="P19" s="580">
        <v>9525</v>
      </c>
      <c r="Q19" s="581">
        <f t="shared" si="19"/>
        <v>79.599999999999994</v>
      </c>
      <c r="R19" s="583">
        <v>9646</v>
      </c>
      <c r="S19" s="581">
        <f t="shared" si="6"/>
        <v>80.599999999999994</v>
      </c>
      <c r="T19" s="585">
        <v>5484</v>
      </c>
      <c r="U19" s="581">
        <f t="shared" si="20"/>
        <v>91.6</v>
      </c>
      <c r="V19" s="585">
        <v>7352</v>
      </c>
      <c r="W19" s="581">
        <f t="shared" si="7"/>
        <v>61.5</v>
      </c>
      <c r="X19" s="629">
        <v>11952</v>
      </c>
      <c r="Y19" s="586">
        <v>10007</v>
      </c>
      <c r="Z19" s="581">
        <f t="shared" si="8"/>
        <v>83.7</v>
      </c>
      <c r="AA19" s="580">
        <v>10035</v>
      </c>
      <c r="AB19" s="581">
        <f t="shared" si="9"/>
        <v>84</v>
      </c>
      <c r="AC19" s="582">
        <v>9425</v>
      </c>
      <c r="AD19" s="581">
        <f t="shared" si="10"/>
        <v>78.7</v>
      </c>
      <c r="AE19" s="583">
        <v>9672</v>
      </c>
      <c r="AF19" s="581">
        <f t="shared" si="11"/>
        <v>80.8</v>
      </c>
      <c r="AG19" s="583">
        <v>9457</v>
      </c>
      <c r="AH19" s="581">
        <f t="shared" si="12"/>
        <v>79.099999999999994</v>
      </c>
      <c r="AI19" s="583">
        <v>152</v>
      </c>
      <c r="AJ19" s="587">
        <f t="shared" si="21"/>
        <v>1.2717536813922357</v>
      </c>
      <c r="AK19" s="583">
        <v>25</v>
      </c>
      <c r="AL19" s="588">
        <v>330</v>
      </c>
      <c r="AM19" s="589">
        <v>8956</v>
      </c>
      <c r="AN19" s="581">
        <f t="shared" si="18"/>
        <v>74.900000000000006</v>
      </c>
      <c r="AO19" s="582">
        <v>9530</v>
      </c>
      <c r="AP19" s="581">
        <f t="shared" si="13"/>
        <v>79.7</v>
      </c>
      <c r="AQ19" s="582">
        <v>9593</v>
      </c>
      <c r="AR19" s="581">
        <f t="shared" si="14"/>
        <v>80.3</v>
      </c>
      <c r="AS19" s="630">
        <v>13096</v>
      </c>
      <c r="AT19" s="590">
        <v>10521</v>
      </c>
      <c r="AU19" s="581">
        <f t="shared" si="15"/>
        <v>80.3</v>
      </c>
      <c r="AV19" s="591">
        <v>10589</v>
      </c>
      <c r="AW19" s="581">
        <f t="shared" si="16"/>
        <v>80.900000000000006</v>
      </c>
      <c r="AX19" s="589">
        <v>9901</v>
      </c>
      <c r="AY19" s="592">
        <f t="shared" si="17"/>
        <v>75.599999999999994</v>
      </c>
      <c r="AZ19" s="589">
        <v>7081</v>
      </c>
      <c r="BA19" s="583">
        <v>37697</v>
      </c>
      <c r="BB19" s="588">
        <v>3546</v>
      </c>
    </row>
    <row r="20" spans="1:54" ht="17.100000000000001" customHeight="1" x14ac:dyDescent="0.2">
      <c r="A20" s="631" t="s">
        <v>260</v>
      </c>
      <c r="B20" s="593" t="s">
        <v>119</v>
      </c>
      <c r="C20" s="628">
        <v>10804</v>
      </c>
      <c r="D20" s="580">
        <v>9903</v>
      </c>
      <c r="E20" s="581">
        <f t="shared" si="0"/>
        <v>91.7</v>
      </c>
      <c r="F20" s="582">
        <v>9786</v>
      </c>
      <c r="G20" s="581">
        <f t="shared" si="1"/>
        <v>90.6</v>
      </c>
      <c r="H20" s="583">
        <v>9853</v>
      </c>
      <c r="I20" s="581">
        <f t="shared" si="2"/>
        <v>91.2</v>
      </c>
      <c r="J20" s="583">
        <v>9892</v>
      </c>
      <c r="K20" s="581">
        <f t="shared" si="3"/>
        <v>91.6</v>
      </c>
      <c r="L20" s="580">
        <v>10348</v>
      </c>
      <c r="M20" s="581">
        <f t="shared" si="4"/>
        <v>95.8</v>
      </c>
      <c r="N20" s="584">
        <v>9804</v>
      </c>
      <c r="O20" s="581">
        <f t="shared" si="5"/>
        <v>90.7</v>
      </c>
      <c r="P20" s="580">
        <v>9669</v>
      </c>
      <c r="Q20" s="581">
        <f t="shared" si="19"/>
        <v>89.5</v>
      </c>
      <c r="R20" s="583">
        <v>9721</v>
      </c>
      <c r="S20" s="581">
        <f t="shared" si="6"/>
        <v>90</v>
      </c>
      <c r="T20" s="585">
        <v>3605</v>
      </c>
      <c r="U20" s="581">
        <f t="shared" si="20"/>
        <v>66.7</v>
      </c>
      <c r="V20" s="585">
        <v>4578</v>
      </c>
      <c r="W20" s="581">
        <f t="shared" si="7"/>
        <v>42.5</v>
      </c>
      <c r="X20" s="629">
        <v>10773</v>
      </c>
      <c r="Y20" s="586">
        <v>9861</v>
      </c>
      <c r="Z20" s="581">
        <f t="shared" si="8"/>
        <v>91.5</v>
      </c>
      <c r="AA20" s="580">
        <v>9850</v>
      </c>
      <c r="AB20" s="581">
        <f t="shared" si="9"/>
        <v>91.4</v>
      </c>
      <c r="AC20" s="582">
        <v>9760</v>
      </c>
      <c r="AD20" s="581">
        <f t="shared" si="10"/>
        <v>90.3</v>
      </c>
      <c r="AE20" s="583">
        <v>9849</v>
      </c>
      <c r="AF20" s="581">
        <f t="shared" si="11"/>
        <v>91.2</v>
      </c>
      <c r="AG20" s="583">
        <v>9791</v>
      </c>
      <c r="AH20" s="581">
        <f t="shared" si="12"/>
        <v>90.9</v>
      </c>
      <c r="AI20" s="583">
        <v>175</v>
      </c>
      <c r="AJ20" s="587">
        <f t="shared" si="21"/>
        <v>1.6244314489928524</v>
      </c>
      <c r="AK20" s="583">
        <v>191</v>
      </c>
      <c r="AL20" s="588">
        <v>38</v>
      </c>
      <c r="AM20" s="589">
        <v>9646</v>
      </c>
      <c r="AN20" s="581">
        <f t="shared" si="18"/>
        <v>89.5</v>
      </c>
      <c r="AO20" s="582">
        <v>9635</v>
      </c>
      <c r="AP20" s="581">
        <f t="shared" si="13"/>
        <v>89.4</v>
      </c>
      <c r="AQ20" s="582">
        <v>9672</v>
      </c>
      <c r="AR20" s="581">
        <f t="shared" si="14"/>
        <v>89.8</v>
      </c>
      <c r="AS20" s="630">
        <v>10611</v>
      </c>
      <c r="AT20" s="590">
        <v>9122</v>
      </c>
      <c r="AU20" s="581">
        <f t="shared" si="15"/>
        <v>86</v>
      </c>
      <c r="AV20" s="591">
        <v>9170</v>
      </c>
      <c r="AW20" s="581">
        <f t="shared" si="16"/>
        <v>86.4</v>
      </c>
      <c r="AX20" s="589">
        <v>8895</v>
      </c>
      <c r="AY20" s="592">
        <f t="shared" si="17"/>
        <v>83.8</v>
      </c>
      <c r="AZ20" s="589">
        <v>3520</v>
      </c>
      <c r="BA20" s="583">
        <v>7346</v>
      </c>
      <c r="BB20" s="588">
        <v>3213</v>
      </c>
    </row>
    <row r="21" spans="1:54" ht="17.100000000000001" customHeight="1" x14ac:dyDescent="0.2">
      <c r="A21" s="636" t="s">
        <v>261</v>
      </c>
      <c r="B21" s="595" t="s">
        <v>21</v>
      </c>
      <c r="C21" s="628">
        <v>8017</v>
      </c>
      <c r="D21" s="580">
        <v>7540</v>
      </c>
      <c r="E21" s="581">
        <f t="shared" si="0"/>
        <v>94.1</v>
      </c>
      <c r="F21" s="582">
        <v>7449</v>
      </c>
      <c r="G21" s="581">
        <f t="shared" si="1"/>
        <v>92.9</v>
      </c>
      <c r="H21" s="583">
        <v>7629</v>
      </c>
      <c r="I21" s="581">
        <f t="shared" si="2"/>
        <v>95.2</v>
      </c>
      <c r="J21" s="583">
        <v>7727</v>
      </c>
      <c r="K21" s="581">
        <f t="shared" si="3"/>
        <v>96.4</v>
      </c>
      <c r="L21" s="580">
        <v>7119</v>
      </c>
      <c r="M21" s="581">
        <f t="shared" si="4"/>
        <v>88.8</v>
      </c>
      <c r="N21" s="584">
        <v>6952</v>
      </c>
      <c r="O21" s="581">
        <f t="shared" si="5"/>
        <v>86.7</v>
      </c>
      <c r="P21" s="580">
        <v>7351</v>
      </c>
      <c r="Q21" s="581">
        <f t="shared" si="19"/>
        <v>91.7</v>
      </c>
      <c r="R21" s="583">
        <v>7502</v>
      </c>
      <c r="S21" s="581">
        <f t="shared" si="6"/>
        <v>93.6</v>
      </c>
      <c r="T21" s="585">
        <v>2584</v>
      </c>
      <c r="U21" s="581">
        <f t="shared" si="20"/>
        <v>64.5</v>
      </c>
      <c r="V21" s="585">
        <v>3877</v>
      </c>
      <c r="W21" s="581">
        <f t="shared" si="7"/>
        <v>47.6</v>
      </c>
      <c r="X21" s="629">
        <v>8142</v>
      </c>
      <c r="Y21" s="586">
        <v>7659</v>
      </c>
      <c r="Z21" s="581">
        <f t="shared" si="8"/>
        <v>94.1</v>
      </c>
      <c r="AA21" s="580">
        <v>7660</v>
      </c>
      <c r="AB21" s="581">
        <f t="shared" si="9"/>
        <v>94.1</v>
      </c>
      <c r="AC21" s="582">
        <v>7551</v>
      </c>
      <c r="AD21" s="581">
        <f t="shared" si="10"/>
        <v>94.2</v>
      </c>
      <c r="AE21" s="583">
        <v>7629</v>
      </c>
      <c r="AF21" s="581">
        <f t="shared" si="11"/>
        <v>95.2</v>
      </c>
      <c r="AG21" s="583">
        <v>7733</v>
      </c>
      <c r="AH21" s="581">
        <f t="shared" si="12"/>
        <v>95</v>
      </c>
      <c r="AI21" s="583">
        <v>51</v>
      </c>
      <c r="AJ21" s="587">
        <f t="shared" si="21"/>
        <v>0.62638172439204132</v>
      </c>
      <c r="AK21" s="583">
        <v>20</v>
      </c>
      <c r="AL21" s="588">
        <v>122</v>
      </c>
      <c r="AM21" s="589">
        <v>6988</v>
      </c>
      <c r="AN21" s="581">
        <f t="shared" si="18"/>
        <v>85.8</v>
      </c>
      <c r="AO21" s="582">
        <v>7290</v>
      </c>
      <c r="AP21" s="581">
        <f t="shared" si="13"/>
        <v>89.5</v>
      </c>
      <c r="AQ21" s="582">
        <v>7293</v>
      </c>
      <c r="AR21" s="581">
        <f t="shared" si="14"/>
        <v>89.6</v>
      </c>
      <c r="AS21" s="630">
        <v>8048</v>
      </c>
      <c r="AT21" s="590">
        <v>6937</v>
      </c>
      <c r="AU21" s="581">
        <f t="shared" si="15"/>
        <v>86.2</v>
      </c>
      <c r="AV21" s="591">
        <v>6951</v>
      </c>
      <c r="AW21" s="581">
        <f t="shared" si="16"/>
        <v>86.4</v>
      </c>
      <c r="AX21" s="589">
        <v>6917</v>
      </c>
      <c r="AY21" s="592">
        <f t="shared" si="17"/>
        <v>85.9</v>
      </c>
      <c r="AZ21" s="589">
        <v>2035</v>
      </c>
      <c r="BA21" s="583">
        <v>4528</v>
      </c>
      <c r="BB21" s="588">
        <v>2863</v>
      </c>
    </row>
    <row r="22" spans="1:54" ht="17.100000000000001" customHeight="1" x14ac:dyDescent="0.2">
      <c r="A22" s="631" t="s">
        <v>262</v>
      </c>
      <c r="B22" s="593" t="s">
        <v>18</v>
      </c>
      <c r="C22" s="628">
        <v>25512</v>
      </c>
      <c r="D22" s="580">
        <v>22226</v>
      </c>
      <c r="E22" s="581">
        <f t="shared" si="0"/>
        <v>87.1</v>
      </c>
      <c r="F22" s="582">
        <v>21977</v>
      </c>
      <c r="G22" s="581">
        <f t="shared" si="1"/>
        <v>86.1</v>
      </c>
      <c r="H22" s="583">
        <v>21647</v>
      </c>
      <c r="I22" s="581">
        <f t="shared" si="2"/>
        <v>84.9</v>
      </c>
      <c r="J22" s="583">
        <v>22221</v>
      </c>
      <c r="K22" s="581">
        <f t="shared" si="3"/>
        <v>87.1</v>
      </c>
      <c r="L22" s="580">
        <v>16786</v>
      </c>
      <c r="M22" s="581">
        <f t="shared" si="4"/>
        <v>65.8</v>
      </c>
      <c r="N22" s="584">
        <v>15489</v>
      </c>
      <c r="O22" s="581">
        <f t="shared" si="5"/>
        <v>60.7</v>
      </c>
      <c r="P22" s="580">
        <v>21176</v>
      </c>
      <c r="Q22" s="581">
        <f t="shared" si="19"/>
        <v>83</v>
      </c>
      <c r="R22" s="583">
        <v>20884</v>
      </c>
      <c r="S22" s="581">
        <f t="shared" si="6"/>
        <v>81.900000000000006</v>
      </c>
      <c r="T22" s="585">
        <v>13183</v>
      </c>
      <c r="U22" s="581">
        <f t="shared" si="20"/>
        <v>103.3</v>
      </c>
      <c r="V22" s="585">
        <v>14934</v>
      </c>
      <c r="W22" s="581">
        <f t="shared" si="7"/>
        <v>60</v>
      </c>
      <c r="X22" s="629">
        <v>24893</v>
      </c>
      <c r="Y22" s="586">
        <v>22865</v>
      </c>
      <c r="Z22" s="581">
        <f t="shared" si="8"/>
        <v>91.9</v>
      </c>
      <c r="AA22" s="580">
        <v>22907</v>
      </c>
      <c r="AB22" s="581">
        <f t="shared" si="9"/>
        <v>92</v>
      </c>
      <c r="AC22" s="582">
        <v>21912</v>
      </c>
      <c r="AD22" s="581">
        <f t="shared" si="10"/>
        <v>85.9</v>
      </c>
      <c r="AE22" s="583">
        <v>21703</v>
      </c>
      <c r="AF22" s="581">
        <f t="shared" si="11"/>
        <v>85.1</v>
      </c>
      <c r="AG22" s="583">
        <v>22014</v>
      </c>
      <c r="AH22" s="581">
        <f t="shared" si="12"/>
        <v>88.4</v>
      </c>
      <c r="AI22" s="583">
        <v>300</v>
      </c>
      <c r="AJ22" s="587">
        <f t="shared" si="21"/>
        <v>1.2051580765677097</v>
      </c>
      <c r="AK22" s="583">
        <v>416</v>
      </c>
      <c r="AL22" s="588">
        <v>170</v>
      </c>
      <c r="AM22" s="589">
        <v>20294</v>
      </c>
      <c r="AN22" s="581">
        <f t="shared" si="18"/>
        <v>81.5</v>
      </c>
      <c r="AO22" s="582">
        <v>21702</v>
      </c>
      <c r="AP22" s="581">
        <f t="shared" si="13"/>
        <v>87.2</v>
      </c>
      <c r="AQ22" s="582">
        <v>21633</v>
      </c>
      <c r="AR22" s="581">
        <f t="shared" si="14"/>
        <v>86.9</v>
      </c>
      <c r="AS22" s="630">
        <v>24979</v>
      </c>
      <c r="AT22" s="590">
        <v>21183</v>
      </c>
      <c r="AU22" s="581">
        <f t="shared" si="15"/>
        <v>84.8</v>
      </c>
      <c r="AV22" s="591">
        <v>21122</v>
      </c>
      <c r="AW22" s="581">
        <f t="shared" si="16"/>
        <v>84.6</v>
      </c>
      <c r="AX22" s="589">
        <v>20991</v>
      </c>
      <c r="AY22" s="592">
        <f t="shared" si="17"/>
        <v>84</v>
      </c>
      <c r="AZ22" s="589">
        <v>6045</v>
      </c>
      <c r="BA22" s="583">
        <v>39828</v>
      </c>
      <c r="BB22" s="588">
        <v>7061</v>
      </c>
    </row>
    <row r="23" spans="1:54" ht="17.100000000000001" customHeight="1" x14ac:dyDescent="0.2">
      <c r="A23" s="631" t="s">
        <v>263</v>
      </c>
      <c r="B23" s="593" t="s">
        <v>22</v>
      </c>
      <c r="C23" s="628">
        <v>22126</v>
      </c>
      <c r="D23" s="580">
        <v>22616</v>
      </c>
      <c r="E23" s="581">
        <f t="shared" si="0"/>
        <v>102.2</v>
      </c>
      <c r="F23" s="582">
        <v>23277</v>
      </c>
      <c r="G23" s="581">
        <f t="shared" si="1"/>
        <v>105.2</v>
      </c>
      <c r="H23" s="583">
        <v>23173</v>
      </c>
      <c r="I23" s="581">
        <f t="shared" si="2"/>
        <v>104.7</v>
      </c>
      <c r="J23" s="583">
        <v>22624</v>
      </c>
      <c r="K23" s="581">
        <f t="shared" si="3"/>
        <v>102.3</v>
      </c>
      <c r="L23" s="580">
        <v>22972</v>
      </c>
      <c r="M23" s="581">
        <f t="shared" si="4"/>
        <v>103.8</v>
      </c>
      <c r="N23" s="584">
        <v>21826</v>
      </c>
      <c r="O23" s="581">
        <f t="shared" si="5"/>
        <v>98.6</v>
      </c>
      <c r="P23" s="580">
        <v>22483</v>
      </c>
      <c r="Q23" s="581">
        <f t="shared" si="19"/>
        <v>101.6</v>
      </c>
      <c r="R23" s="583">
        <v>22401</v>
      </c>
      <c r="S23" s="581">
        <f t="shared" si="6"/>
        <v>101.2</v>
      </c>
      <c r="T23" s="585">
        <v>12350</v>
      </c>
      <c r="U23" s="581">
        <f t="shared" si="20"/>
        <v>111.6</v>
      </c>
      <c r="V23" s="585">
        <v>16568</v>
      </c>
      <c r="W23" s="581">
        <f t="shared" si="7"/>
        <v>75</v>
      </c>
      <c r="X23" s="629">
        <v>22086</v>
      </c>
      <c r="Y23" s="586">
        <v>24185</v>
      </c>
      <c r="Z23" s="581">
        <f t="shared" si="8"/>
        <v>109.5</v>
      </c>
      <c r="AA23" s="580">
        <v>24200</v>
      </c>
      <c r="AB23" s="581">
        <f t="shared" si="9"/>
        <v>109.6</v>
      </c>
      <c r="AC23" s="582">
        <v>23336</v>
      </c>
      <c r="AD23" s="581">
        <f t="shared" si="10"/>
        <v>105.5</v>
      </c>
      <c r="AE23" s="583">
        <v>23190</v>
      </c>
      <c r="AF23" s="581">
        <f t="shared" si="11"/>
        <v>104.8</v>
      </c>
      <c r="AG23" s="583">
        <v>23285</v>
      </c>
      <c r="AH23" s="581">
        <f t="shared" si="12"/>
        <v>105.4</v>
      </c>
      <c r="AI23" s="583">
        <v>213</v>
      </c>
      <c r="AJ23" s="587">
        <f t="shared" si="21"/>
        <v>0.96441184460744367</v>
      </c>
      <c r="AK23" s="583">
        <v>306</v>
      </c>
      <c r="AL23" s="588">
        <v>36</v>
      </c>
      <c r="AM23" s="589">
        <v>20915</v>
      </c>
      <c r="AN23" s="581">
        <f t="shared" si="18"/>
        <v>94.7</v>
      </c>
      <c r="AO23" s="582">
        <v>22851</v>
      </c>
      <c r="AP23" s="581">
        <f t="shared" si="13"/>
        <v>103.5</v>
      </c>
      <c r="AQ23" s="582">
        <v>22638</v>
      </c>
      <c r="AR23" s="581">
        <f t="shared" si="14"/>
        <v>102.5</v>
      </c>
      <c r="AS23" s="630">
        <v>21934</v>
      </c>
      <c r="AT23" s="590">
        <v>21718</v>
      </c>
      <c r="AU23" s="581">
        <f t="shared" si="15"/>
        <v>99</v>
      </c>
      <c r="AV23" s="591">
        <v>21663</v>
      </c>
      <c r="AW23" s="581">
        <f t="shared" si="16"/>
        <v>98.8</v>
      </c>
      <c r="AX23" s="589">
        <v>3847</v>
      </c>
      <c r="AY23" s="592">
        <f t="shared" si="17"/>
        <v>17.5</v>
      </c>
      <c r="AZ23" s="589">
        <v>0</v>
      </c>
      <c r="BA23" s="583">
        <v>29318</v>
      </c>
      <c r="BB23" s="588">
        <v>7759</v>
      </c>
    </row>
    <row r="24" spans="1:54" ht="17.100000000000001" customHeight="1" x14ac:dyDescent="0.2">
      <c r="A24" s="631" t="s">
        <v>264</v>
      </c>
      <c r="B24" s="593" t="s">
        <v>120</v>
      </c>
      <c r="C24" s="628">
        <v>13414</v>
      </c>
      <c r="D24" s="580">
        <v>9235</v>
      </c>
      <c r="E24" s="581">
        <f t="shared" si="0"/>
        <v>68.8</v>
      </c>
      <c r="F24" s="582">
        <v>11023</v>
      </c>
      <c r="G24" s="581">
        <f t="shared" si="1"/>
        <v>82.2</v>
      </c>
      <c r="H24" s="583">
        <v>9972</v>
      </c>
      <c r="I24" s="581">
        <f t="shared" si="2"/>
        <v>74.3</v>
      </c>
      <c r="J24" s="583">
        <v>9189</v>
      </c>
      <c r="K24" s="581">
        <f t="shared" si="3"/>
        <v>68.5</v>
      </c>
      <c r="L24" s="580">
        <v>10353</v>
      </c>
      <c r="M24" s="581">
        <f t="shared" si="4"/>
        <v>77.2</v>
      </c>
      <c r="N24" s="584">
        <v>7591</v>
      </c>
      <c r="O24" s="581">
        <f t="shared" si="5"/>
        <v>56.6</v>
      </c>
      <c r="P24" s="580">
        <v>8848</v>
      </c>
      <c r="Q24" s="581">
        <f t="shared" si="19"/>
        <v>66</v>
      </c>
      <c r="R24" s="583">
        <v>8184</v>
      </c>
      <c r="S24" s="581">
        <f t="shared" si="6"/>
        <v>61</v>
      </c>
      <c r="T24" s="585">
        <v>4008</v>
      </c>
      <c r="U24" s="581">
        <f t="shared" si="20"/>
        <v>59.8</v>
      </c>
      <c r="V24" s="585">
        <v>6811</v>
      </c>
      <c r="W24" s="581">
        <f t="shared" si="7"/>
        <v>51.1</v>
      </c>
      <c r="X24" s="629">
        <v>13318</v>
      </c>
      <c r="Y24" s="586">
        <v>11447</v>
      </c>
      <c r="Z24" s="581">
        <f t="shared" si="8"/>
        <v>86</v>
      </c>
      <c r="AA24" s="580">
        <v>11263</v>
      </c>
      <c r="AB24" s="581">
        <f t="shared" si="9"/>
        <v>84.6</v>
      </c>
      <c r="AC24" s="582">
        <v>11037</v>
      </c>
      <c r="AD24" s="581">
        <f t="shared" si="10"/>
        <v>82.3</v>
      </c>
      <c r="AE24" s="583">
        <v>9939</v>
      </c>
      <c r="AF24" s="581">
        <f t="shared" si="11"/>
        <v>74.099999999999994</v>
      </c>
      <c r="AG24" s="583">
        <v>10290</v>
      </c>
      <c r="AH24" s="581">
        <f t="shared" si="12"/>
        <v>77.3</v>
      </c>
      <c r="AI24" s="583">
        <v>463</v>
      </c>
      <c r="AJ24" s="587">
        <f t="shared" si="21"/>
        <v>3.4764979726685685</v>
      </c>
      <c r="AK24" s="583">
        <v>772</v>
      </c>
      <c r="AL24" s="588">
        <v>212</v>
      </c>
      <c r="AM24" s="589">
        <v>9092</v>
      </c>
      <c r="AN24" s="581">
        <f t="shared" si="18"/>
        <v>68.3</v>
      </c>
      <c r="AO24" s="582">
        <v>10286</v>
      </c>
      <c r="AP24" s="581">
        <f t="shared" si="13"/>
        <v>77.2</v>
      </c>
      <c r="AQ24" s="582">
        <v>10267</v>
      </c>
      <c r="AR24" s="581">
        <f t="shared" si="14"/>
        <v>77.099999999999994</v>
      </c>
      <c r="AS24" s="630">
        <v>12912</v>
      </c>
      <c r="AT24" s="590">
        <v>8341</v>
      </c>
      <c r="AU24" s="581">
        <f t="shared" si="15"/>
        <v>64.599999999999994</v>
      </c>
      <c r="AV24" s="591">
        <v>8316</v>
      </c>
      <c r="AW24" s="581">
        <f t="shared" si="16"/>
        <v>64.400000000000006</v>
      </c>
      <c r="AX24" s="589">
        <v>8302</v>
      </c>
      <c r="AY24" s="592">
        <f t="shared" si="17"/>
        <v>64.3</v>
      </c>
      <c r="AZ24" s="589">
        <v>1942</v>
      </c>
      <c r="BA24" s="583">
        <v>7834</v>
      </c>
      <c r="BB24" s="588">
        <v>4955</v>
      </c>
    </row>
    <row r="25" spans="1:54" ht="17.100000000000001" customHeight="1" x14ac:dyDescent="0.2">
      <c r="A25" s="631" t="s">
        <v>265</v>
      </c>
      <c r="B25" s="593" t="s">
        <v>121</v>
      </c>
      <c r="C25" s="628">
        <v>36537</v>
      </c>
      <c r="D25" s="580">
        <v>32506</v>
      </c>
      <c r="E25" s="581">
        <f t="shared" si="0"/>
        <v>89</v>
      </c>
      <c r="F25" s="582">
        <v>29980</v>
      </c>
      <c r="G25" s="581">
        <f t="shared" si="1"/>
        <v>82.1</v>
      </c>
      <c r="H25" s="583">
        <v>30511</v>
      </c>
      <c r="I25" s="581">
        <f t="shared" si="2"/>
        <v>83.5</v>
      </c>
      <c r="J25" s="583">
        <v>32514</v>
      </c>
      <c r="K25" s="581">
        <f t="shared" si="3"/>
        <v>89</v>
      </c>
      <c r="L25" s="580">
        <v>28660</v>
      </c>
      <c r="M25" s="581">
        <f t="shared" si="4"/>
        <v>78.400000000000006</v>
      </c>
      <c r="N25" s="584">
        <v>27087</v>
      </c>
      <c r="O25" s="581">
        <f t="shared" si="5"/>
        <v>74.099999999999994</v>
      </c>
      <c r="P25" s="580">
        <v>28915</v>
      </c>
      <c r="Q25" s="581">
        <f t="shared" si="19"/>
        <v>79.099999999999994</v>
      </c>
      <c r="R25" s="583">
        <v>29569</v>
      </c>
      <c r="S25" s="581">
        <f t="shared" si="6"/>
        <v>80.900000000000006</v>
      </c>
      <c r="T25" s="585">
        <v>14478</v>
      </c>
      <c r="U25" s="581">
        <f t="shared" si="20"/>
        <v>79.3</v>
      </c>
      <c r="V25" s="585">
        <v>16763</v>
      </c>
      <c r="W25" s="581">
        <f t="shared" si="7"/>
        <v>46.2</v>
      </c>
      <c r="X25" s="629">
        <v>36249</v>
      </c>
      <c r="Y25" s="586">
        <v>33091</v>
      </c>
      <c r="Z25" s="581">
        <f t="shared" si="8"/>
        <v>91.3</v>
      </c>
      <c r="AA25" s="580">
        <v>31680</v>
      </c>
      <c r="AB25" s="581">
        <f t="shared" si="9"/>
        <v>87.4</v>
      </c>
      <c r="AC25" s="582">
        <v>29885</v>
      </c>
      <c r="AD25" s="581">
        <f t="shared" si="10"/>
        <v>81.8</v>
      </c>
      <c r="AE25" s="583">
        <v>30386</v>
      </c>
      <c r="AF25" s="581">
        <f t="shared" si="11"/>
        <v>83.2</v>
      </c>
      <c r="AG25" s="583">
        <v>29765</v>
      </c>
      <c r="AH25" s="581">
        <f t="shared" si="12"/>
        <v>82.1</v>
      </c>
      <c r="AI25" s="583">
        <v>952</v>
      </c>
      <c r="AJ25" s="587">
        <f t="shared" si="21"/>
        <v>2.626279345637121</v>
      </c>
      <c r="AK25" s="583">
        <v>211</v>
      </c>
      <c r="AL25" s="588">
        <v>634</v>
      </c>
      <c r="AM25" s="589">
        <v>27025</v>
      </c>
      <c r="AN25" s="581">
        <f t="shared" si="18"/>
        <v>74.599999999999994</v>
      </c>
      <c r="AO25" s="582">
        <v>30442</v>
      </c>
      <c r="AP25" s="581">
        <f t="shared" si="13"/>
        <v>84</v>
      </c>
      <c r="AQ25" s="582">
        <v>30596</v>
      </c>
      <c r="AR25" s="581">
        <f t="shared" si="14"/>
        <v>84.4</v>
      </c>
      <c r="AS25" s="630">
        <v>35125</v>
      </c>
      <c r="AT25" s="590">
        <v>29948</v>
      </c>
      <c r="AU25" s="581">
        <f t="shared" si="15"/>
        <v>85.3</v>
      </c>
      <c r="AV25" s="591">
        <v>30191</v>
      </c>
      <c r="AW25" s="581">
        <f t="shared" si="16"/>
        <v>86</v>
      </c>
      <c r="AX25" s="589">
        <v>15775</v>
      </c>
      <c r="AY25" s="592">
        <f t="shared" si="17"/>
        <v>44.9</v>
      </c>
      <c r="AZ25" s="589">
        <v>7006</v>
      </c>
      <c r="BA25" s="583">
        <v>22820</v>
      </c>
      <c r="BB25" s="588">
        <v>8794</v>
      </c>
    </row>
    <row r="26" spans="1:54" ht="17.100000000000001" customHeight="1" x14ac:dyDescent="0.2">
      <c r="A26" s="637" t="s">
        <v>265</v>
      </c>
      <c r="B26" s="593" t="s">
        <v>122</v>
      </c>
      <c r="C26" s="628">
        <v>41589</v>
      </c>
      <c r="D26" s="580">
        <v>33359</v>
      </c>
      <c r="E26" s="581">
        <f t="shared" si="0"/>
        <v>80.2</v>
      </c>
      <c r="F26" s="582">
        <v>31959</v>
      </c>
      <c r="G26" s="581">
        <f t="shared" si="1"/>
        <v>76.8</v>
      </c>
      <c r="H26" s="583">
        <v>32981</v>
      </c>
      <c r="I26" s="581">
        <f t="shared" si="2"/>
        <v>79.3</v>
      </c>
      <c r="J26" s="583">
        <v>33283</v>
      </c>
      <c r="K26" s="581">
        <f t="shared" si="3"/>
        <v>80</v>
      </c>
      <c r="L26" s="580">
        <v>18983</v>
      </c>
      <c r="M26" s="581">
        <f t="shared" si="4"/>
        <v>45.6</v>
      </c>
      <c r="N26" s="584">
        <v>17611</v>
      </c>
      <c r="O26" s="581">
        <f t="shared" si="5"/>
        <v>42.3</v>
      </c>
      <c r="P26" s="580">
        <v>31713</v>
      </c>
      <c r="Q26" s="581">
        <f t="shared" si="19"/>
        <v>76.3</v>
      </c>
      <c r="R26" s="583">
        <v>32621</v>
      </c>
      <c r="S26" s="581">
        <f t="shared" si="6"/>
        <v>78.400000000000006</v>
      </c>
      <c r="T26" s="585">
        <v>13038</v>
      </c>
      <c r="U26" s="581">
        <f t="shared" si="20"/>
        <v>62.7</v>
      </c>
      <c r="V26" s="585">
        <v>18325</v>
      </c>
      <c r="W26" s="581">
        <f t="shared" si="7"/>
        <v>44.6</v>
      </c>
      <c r="X26" s="629">
        <v>41112</v>
      </c>
      <c r="Y26" s="586">
        <v>35160</v>
      </c>
      <c r="Z26" s="581">
        <f t="shared" si="8"/>
        <v>85.5</v>
      </c>
      <c r="AA26" s="580">
        <v>35275</v>
      </c>
      <c r="AB26" s="581">
        <f t="shared" si="9"/>
        <v>85.8</v>
      </c>
      <c r="AC26" s="582">
        <v>31922</v>
      </c>
      <c r="AD26" s="581">
        <f t="shared" si="10"/>
        <v>76.8</v>
      </c>
      <c r="AE26" s="583">
        <v>32870</v>
      </c>
      <c r="AF26" s="581">
        <f t="shared" si="11"/>
        <v>79</v>
      </c>
      <c r="AG26" s="583">
        <v>34337</v>
      </c>
      <c r="AH26" s="581">
        <f t="shared" si="12"/>
        <v>83.5</v>
      </c>
      <c r="AI26" s="583">
        <v>711</v>
      </c>
      <c r="AJ26" s="587">
        <f t="shared" si="21"/>
        <v>1.7294220665499123</v>
      </c>
      <c r="AK26" s="583">
        <v>141</v>
      </c>
      <c r="AL26" s="588">
        <v>900</v>
      </c>
      <c r="AM26" s="589">
        <v>29752</v>
      </c>
      <c r="AN26" s="581">
        <f t="shared" si="18"/>
        <v>72.400000000000006</v>
      </c>
      <c r="AO26" s="582">
        <v>35081</v>
      </c>
      <c r="AP26" s="581">
        <f t="shared" si="13"/>
        <v>85.3</v>
      </c>
      <c r="AQ26" s="582">
        <v>35101</v>
      </c>
      <c r="AR26" s="581">
        <f t="shared" si="14"/>
        <v>85.4</v>
      </c>
      <c r="AS26" s="630">
        <v>41455</v>
      </c>
      <c r="AT26" s="590">
        <v>36855</v>
      </c>
      <c r="AU26" s="581">
        <f t="shared" si="15"/>
        <v>88.9</v>
      </c>
      <c r="AV26" s="591">
        <v>37113</v>
      </c>
      <c r="AW26" s="581">
        <f t="shared" si="16"/>
        <v>89.5</v>
      </c>
      <c r="AX26" s="589">
        <v>38973</v>
      </c>
      <c r="AY26" s="592">
        <f t="shared" si="17"/>
        <v>94</v>
      </c>
      <c r="AZ26" s="589">
        <v>35728</v>
      </c>
      <c r="BA26" s="583">
        <v>63469</v>
      </c>
      <c r="BB26" s="588">
        <v>4660</v>
      </c>
    </row>
    <row r="27" spans="1:54" ht="17.100000000000001" customHeight="1" x14ac:dyDescent="0.2">
      <c r="A27" s="631" t="s">
        <v>266</v>
      </c>
      <c r="B27" s="593" t="s">
        <v>123</v>
      </c>
      <c r="C27" s="628">
        <v>1081</v>
      </c>
      <c r="D27" s="580">
        <v>641</v>
      </c>
      <c r="E27" s="581">
        <f t="shared" si="0"/>
        <v>59.3</v>
      </c>
      <c r="F27" s="582">
        <v>820</v>
      </c>
      <c r="G27" s="581">
        <f t="shared" si="1"/>
        <v>75.900000000000006</v>
      </c>
      <c r="H27" s="583">
        <v>733</v>
      </c>
      <c r="I27" s="581">
        <f t="shared" si="2"/>
        <v>67.8</v>
      </c>
      <c r="J27" s="583">
        <v>641</v>
      </c>
      <c r="K27" s="581">
        <f t="shared" si="3"/>
        <v>59.3</v>
      </c>
      <c r="L27" s="580">
        <v>880</v>
      </c>
      <c r="M27" s="581">
        <f t="shared" si="4"/>
        <v>81.400000000000006</v>
      </c>
      <c r="N27" s="584">
        <v>640</v>
      </c>
      <c r="O27" s="581">
        <f t="shared" si="5"/>
        <v>59.2</v>
      </c>
      <c r="P27" s="580">
        <v>624</v>
      </c>
      <c r="Q27" s="581">
        <f t="shared" si="19"/>
        <v>57.7</v>
      </c>
      <c r="R27" s="583">
        <v>544</v>
      </c>
      <c r="S27" s="581">
        <f t="shared" si="6"/>
        <v>50.3</v>
      </c>
      <c r="T27" s="585">
        <v>204</v>
      </c>
      <c r="U27" s="581">
        <f t="shared" si="20"/>
        <v>37.700000000000003</v>
      </c>
      <c r="V27" s="585">
        <v>400</v>
      </c>
      <c r="W27" s="581">
        <f t="shared" si="7"/>
        <v>38.1</v>
      </c>
      <c r="X27" s="629">
        <v>1049</v>
      </c>
      <c r="Y27" s="586">
        <v>852</v>
      </c>
      <c r="Z27" s="581">
        <f t="shared" si="8"/>
        <v>81.2</v>
      </c>
      <c r="AA27" s="580">
        <v>858</v>
      </c>
      <c r="AB27" s="581">
        <f t="shared" si="9"/>
        <v>81.8</v>
      </c>
      <c r="AC27" s="582">
        <v>825</v>
      </c>
      <c r="AD27" s="581">
        <f t="shared" si="10"/>
        <v>76.3</v>
      </c>
      <c r="AE27" s="583">
        <v>729</v>
      </c>
      <c r="AF27" s="581">
        <f t="shared" si="11"/>
        <v>67.400000000000006</v>
      </c>
      <c r="AG27" s="583">
        <v>742</v>
      </c>
      <c r="AH27" s="581">
        <f t="shared" si="12"/>
        <v>70.7</v>
      </c>
      <c r="AI27" s="583">
        <v>56</v>
      </c>
      <c r="AJ27" s="587">
        <f t="shared" si="21"/>
        <v>5.3384175405147758</v>
      </c>
      <c r="AK27" s="583">
        <v>85</v>
      </c>
      <c r="AL27" s="588">
        <v>17</v>
      </c>
      <c r="AM27" s="589">
        <v>748</v>
      </c>
      <c r="AN27" s="581">
        <f t="shared" si="18"/>
        <v>71.3</v>
      </c>
      <c r="AO27" s="582">
        <v>896</v>
      </c>
      <c r="AP27" s="581">
        <f t="shared" si="13"/>
        <v>85.4</v>
      </c>
      <c r="AQ27" s="582">
        <v>898</v>
      </c>
      <c r="AR27" s="581">
        <f t="shared" si="14"/>
        <v>85.6</v>
      </c>
      <c r="AS27" s="630">
        <v>959</v>
      </c>
      <c r="AT27" s="590">
        <v>712</v>
      </c>
      <c r="AU27" s="581">
        <f t="shared" si="15"/>
        <v>74.2</v>
      </c>
      <c r="AV27" s="591">
        <v>712</v>
      </c>
      <c r="AW27" s="581">
        <f t="shared" si="16"/>
        <v>74.2</v>
      </c>
      <c r="AX27" s="589">
        <v>717</v>
      </c>
      <c r="AY27" s="592">
        <f t="shared" si="17"/>
        <v>74.8</v>
      </c>
      <c r="AZ27" s="589">
        <v>380</v>
      </c>
      <c r="BA27" s="583">
        <v>605</v>
      </c>
      <c r="BB27" s="588">
        <v>26</v>
      </c>
    </row>
    <row r="28" spans="1:54" ht="17.100000000000001" customHeight="1" x14ac:dyDescent="0.2">
      <c r="A28" s="636" t="s">
        <v>267</v>
      </c>
      <c r="B28" s="595" t="s">
        <v>26</v>
      </c>
      <c r="C28" s="628">
        <v>2838</v>
      </c>
      <c r="D28" s="580">
        <v>1278</v>
      </c>
      <c r="E28" s="581">
        <f t="shared" si="0"/>
        <v>45</v>
      </c>
      <c r="F28" s="582">
        <v>1250</v>
      </c>
      <c r="G28" s="581">
        <f t="shared" si="1"/>
        <v>44</v>
      </c>
      <c r="H28" s="583">
        <v>1268</v>
      </c>
      <c r="I28" s="581">
        <f t="shared" si="2"/>
        <v>44.7</v>
      </c>
      <c r="J28" s="583">
        <v>1278</v>
      </c>
      <c r="K28" s="581">
        <f t="shared" si="3"/>
        <v>45</v>
      </c>
      <c r="L28" s="580">
        <v>1173</v>
      </c>
      <c r="M28" s="581">
        <f t="shared" si="4"/>
        <v>41.3</v>
      </c>
      <c r="N28" s="584">
        <v>1108</v>
      </c>
      <c r="O28" s="581">
        <f t="shared" si="5"/>
        <v>39</v>
      </c>
      <c r="P28" s="580">
        <v>1219</v>
      </c>
      <c r="Q28" s="581">
        <f t="shared" si="19"/>
        <v>43</v>
      </c>
      <c r="R28" s="583">
        <v>1202</v>
      </c>
      <c r="S28" s="581">
        <f t="shared" si="6"/>
        <v>42.4</v>
      </c>
      <c r="T28" s="585">
        <v>667</v>
      </c>
      <c r="U28" s="581">
        <f t="shared" si="20"/>
        <v>47</v>
      </c>
      <c r="V28" s="585">
        <v>882</v>
      </c>
      <c r="W28" s="581">
        <f t="shared" si="7"/>
        <v>31</v>
      </c>
      <c r="X28" s="629">
        <v>2845</v>
      </c>
      <c r="Y28" s="586">
        <v>1401</v>
      </c>
      <c r="Z28" s="581">
        <f t="shared" si="8"/>
        <v>49.2</v>
      </c>
      <c r="AA28" s="580">
        <v>1401</v>
      </c>
      <c r="AB28" s="581">
        <f t="shared" si="9"/>
        <v>49.2</v>
      </c>
      <c r="AC28" s="582">
        <v>1253</v>
      </c>
      <c r="AD28" s="581">
        <f t="shared" si="10"/>
        <v>44.2</v>
      </c>
      <c r="AE28" s="583">
        <v>1268</v>
      </c>
      <c r="AF28" s="581">
        <f t="shared" si="11"/>
        <v>44.7</v>
      </c>
      <c r="AG28" s="583">
        <v>1373</v>
      </c>
      <c r="AH28" s="581">
        <f t="shared" si="12"/>
        <v>48.3</v>
      </c>
      <c r="AI28" s="583">
        <v>10</v>
      </c>
      <c r="AJ28" s="587">
        <f t="shared" si="21"/>
        <v>0.35149384885764495</v>
      </c>
      <c r="AK28" s="583">
        <v>22</v>
      </c>
      <c r="AL28" s="588">
        <v>23</v>
      </c>
      <c r="AM28" s="589">
        <v>1217</v>
      </c>
      <c r="AN28" s="581">
        <f t="shared" si="18"/>
        <v>42.8</v>
      </c>
      <c r="AO28" s="582">
        <v>1498</v>
      </c>
      <c r="AP28" s="581">
        <f t="shared" si="13"/>
        <v>52.7</v>
      </c>
      <c r="AQ28" s="582">
        <v>1498</v>
      </c>
      <c r="AR28" s="581">
        <f t="shared" si="14"/>
        <v>52.7</v>
      </c>
      <c r="AS28" s="630">
        <v>2822</v>
      </c>
      <c r="AT28" s="590">
        <v>1584</v>
      </c>
      <c r="AU28" s="581">
        <f t="shared" si="15"/>
        <v>56.1</v>
      </c>
      <c r="AV28" s="591">
        <v>1583</v>
      </c>
      <c r="AW28" s="581">
        <f t="shared" si="16"/>
        <v>56.1</v>
      </c>
      <c r="AX28" s="589">
        <v>919</v>
      </c>
      <c r="AY28" s="592">
        <f t="shared" si="17"/>
        <v>32.6</v>
      </c>
      <c r="AZ28" s="589">
        <v>340</v>
      </c>
      <c r="BA28" s="583">
        <v>1234</v>
      </c>
      <c r="BB28" s="588">
        <v>403</v>
      </c>
    </row>
    <row r="29" spans="1:54" ht="17.100000000000001" customHeight="1" x14ac:dyDescent="0.2">
      <c r="A29" s="636" t="s">
        <v>268</v>
      </c>
      <c r="B29" s="595" t="s">
        <v>27</v>
      </c>
      <c r="C29" s="628">
        <v>22108</v>
      </c>
      <c r="D29" s="580">
        <v>20359</v>
      </c>
      <c r="E29" s="581">
        <f t="shared" si="0"/>
        <v>92.1</v>
      </c>
      <c r="F29" s="582">
        <v>20397</v>
      </c>
      <c r="G29" s="581">
        <f t="shared" si="1"/>
        <v>92.3</v>
      </c>
      <c r="H29" s="583">
        <v>20271</v>
      </c>
      <c r="I29" s="581">
        <f t="shared" si="2"/>
        <v>91.7</v>
      </c>
      <c r="J29" s="583">
        <v>20359</v>
      </c>
      <c r="K29" s="581">
        <f t="shared" si="3"/>
        <v>92.1</v>
      </c>
      <c r="L29" s="580">
        <v>19897</v>
      </c>
      <c r="M29" s="581">
        <f t="shared" si="4"/>
        <v>90</v>
      </c>
      <c r="N29" s="584">
        <v>19573</v>
      </c>
      <c r="O29" s="581">
        <f t="shared" si="5"/>
        <v>88.5</v>
      </c>
      <c r="P29" s="580">
        <v>20224</v>
      </c>
      <c r="Q29" s="581">
        <f t="shared" si="19"/>
        <v>91.5</v>
      </c>
      <c r="R29" s="583">
        <v>19975</v>
      </c>
      <c r="S29" s="581">
        <f t="shared" si="6"/>
        <v>90.4</v>
      </c>
      <c r="T29" s="585">
        <v>8555</v>
      </c>
      <c r="U29" s="581">
        <f t="shared" si="20"/>
        <v>77.400000000000006</v>
      </c>
      <c r="V29" s="585">
        <v>14305</v>
      </c>
      <c r="W29" s="581">
        <f t="shared" si="7"/>
        <v>64.400000000000006</v>
      </c>
      <c r="X29" s="629">
        <v>22223</v>
      </c>
      <c r="Y29" s="586">
        <v>20870</v>
      </c>
      <c r="Z29" s="581">
        <f t="shared" si="8"/>
        <v>93.9</v>
      </c>
      <c r="AA29" s="580">
        <v>20516</v>
      </c>
      <c r="AB29" s="581">
        <f t="shared" si="9"/>
        <v>92.3</v>
      </c>
      <c r="AC29" s="582">
        <v>20382</v>
      </c>
      <c r="AD29" s="581">
        <f t="shared" si="10"/>
        <v>92.2</v>
      </c>
      <c r="AE29" s="583">
        <v>20276</v>
      </c>
      <c r="AF29" s="581">
        <f t="shared" si="11"/>
        <v>91.7</v>
      </c>
      <c r="AG29" s="583">
        <v>20500</v>
      </c>
      <c r="AH29" s="581">
        <f t="shared" si="12"/>
        <v>92.2</v>
      </c>
      <c r="AI29" s="583">
        <v>154</v>
      </c>
      <c r="AJ29" s="587">
        <f t="shared" si="21"/>
        <v>0.69297574584889521</v>
      </c>
      <c r="AK29" s="583">
        <v>156</v>
      </c>
      <c r="AL29" s="588">
        <v>280</v>
      </c>
      <c r="AM29" s="589">
        <v>19157</v>
      </c>
      <c r="AN29" s="581">
        <f t="shared" si="18"/>
        <v>86.2</v>
      </c>
      <c r="AO29" s="582">
        <v>20003</v>
      </c>
      <c r="AP29" s="581">
        <f t="shared" si="13"/>
        <v>90</v>
      </c>
      <c r="AQ29" s="582">
        <v>20003</v>
      </c>
      <c r="AR29" s="581">
        <f t="shared" si="14"/>
        <v>90</v>
      </c>
      <c r="AS29" s="630">
        <v>22489</v>
      </c>
      <c r="AT29" s="590">
        <v>19537</v>
      </c>
      <c r="AU29" s="581">
        <f t="shared" si="15"/>
        <v>86.9</v>
      </c>
      <c r="AV29" s="591">
        <v>19537</v>
      </c>
      <c r="AW29" s="581">
        <f t="shared" si="16"/>
        <v>86.9</v>
      </c>
      <c r="AX29" s="589">
        <v>19485</v>
      </c>
      <c r="AY29" s="592">
        <f t="shared" si="17"/>
        <v>86.6</v>
      </c>
      <c r="AZ29" s="589">
        <v>16582</v>
      </c>
      <c r="BA29" s="583">
        <v>38178</v>
      </c>
      <c r="BB29" s="588">
        <v>10778</v>
      </c>
    </row>
    <row r="30" spans="1:54" ht="17.100000000000001" customHeight="1" x14ac:dyDescent="0.2">
      <c r="A30" s="636" t="s">
        <v>269</v>
      </c>
      <c r="B30" s="595" t="s">
        <v>124</v>
      </c>
      <c r="C30" s="628">
        <v>20967</v>
      </c>
      <c r="D30" s="580">
        <v>17859</v>
      </c>
      <c r="E30" s="581">
        <f t="shared" si="0"/>
        <v>85.2</v>
      </c>
      <c r="F30" s="582">
        <v>18610</v>
      </c>
      <c r="G30" s="581">
        <f t="shared" si="1"/>
        <v>88.8</v>
      </c>
      <c r="H30" s="583">
        <v>17774</v>
      </c>
      <c r="I30" s="581">
        <f t="shared" si="2"/>
        <v>84.8</v>
      </c>
      <c r="J30" s="583">
        <v>17853</v>
      </c>
      <c r="K30" s="581">
        <f t="shared" si="3"/>
        <v>85.1</v>
      </c>
      <c r="L30" s="580">
        <v>17683</v>
      </c>
      <c r="M30" s="581">
        <f t="shared" si="4"/>
        <v>84.3</v>
      </c>
      <c r="N30" s="584">
        <v>15480</v>
      </c>
      <c r="O30" s="581">
        <f t="shared" si="5"/>
        <v>73.8</v>
      </c>
      <c r="P30" s="580">
        <v>17654</v>
      </c>
      <c r="Q30" s="581">
        <f t="shared" si="19"/>
        <v>84.2</v>
      </c>
      <c r="R30" s="583">
        <v>16738</v>
      </c>
      <c r="S30" s="581">
        <f t="shared" si="6"/>
        <v>79.8</v>
      </c>
      <c r="T30" s="585">
        <v>6226</v>
      </c>
      <c r="U30" s="581">
        <f t="shared" si="20"/>
        <v>59.4</v>
      </c>
      <c r="V30" s="585">
        <v>8080</v>
      </c>
      <c r="W30" s="581">
        <f t="shared" si="7"/>
        <v>40.4</v>
      </c>
      <c r="X30" s="629">
        <v>19987</v>
      </c>
      <c r="Y30" s="586">
        <v>19276</v>
      </c>
      <c r="Z30" s="581">
        <f t="shared" si="8"/>
        <v>96.4</v>
      </c>
      <c r="AA30" s="580">
        <v>19608</v>
      </c>
      <c r="AB30" s="581">
        <f t="shared" si="9"/>
        <v>98.1</v>
      </c>
      <c r="AC30" s="582">
        <v>18385</v>
      </c>
      <c r="AD30" s="581">
        <f t="shared" si="10"/>
        <v>87.7</v>
      </c>
      <c r="AE30" s="583">
        <v>17639</v>
      </c>
      <c r="AF30" s="581">
        <f t="shared" si="11"/>
        <v>84.1</v>
      </c>
      <c r="AG30" s="583">
        <v>17567</v>
      </c>
      <c r="AH30" s="581">
        <f t="shared" si="12"/>
        <v>87.9</v>
      </c>
      <c r="AI30" s="583">
        <v>369</v>
      </c>
      <c r="AJ30" s="587">
        <f t="shared" si="21"/>
        <v>1.8462000300195129</v>
      </c>
      <c r="AK30" s="583">
        <v>377</v>
      </c>
      <c r="AL30" s="588">
        <v>66</v>
      </c>
      <c r="AM30" s="589">
        <v>16031</v>
      </c>
      <c r="AN30" s="581">
        <f t="shared" si="18"/>
        <v>80.2</v>
      </c>
      <c r="AO30" s="582">
        <v>17039</v>
      </c>
      <c r="AP30" s="581">
        <f t="shared" si="13"/>
        <v>85.3</v>
      </c>
      <c r="AQ30" s="582">
        <v>17007</v>
      </c>
      <c r="AR30" s="581">
        <f t="shared" si="14"/>
        <v>85.1</v>
      </c>
      <c r="AS30" s="630">
        <v>18960</v>
      </c>
      <c r="AT30" s="590">
        <v>14671</v>
      </c>
      <c r="AU30" s="581">
        <f t="shared" si="15"/>
        <v>77.400000000000006</v>
      </c>
      <c r="AV30" s="591">
        <v>14642</v>
      </c>
      <c r="AW30" s="581">
        <f t="shared" si="16"/>
        <v>77.2</v>
      </c>
      <c r="AX30" s="589">
        <v>2661</v>
      </c>
      <c r="AY30" s="592">
        <f t="shared" si="17"/>
        <v>14</v>
      </c>
      <c r="AZ30" s="589">
        <v>962</v>
      </c>
      <c r="BA30" s="583">
        <v>8347</v>
      </c>
      <c r="BB30" s="588">
        <v>7545</v>
      </c>
    </row>
    <row r="31" spans="1:54" ht="17.100000000000001" customHeight="1" x14ac:dyDescent="0.2">
      <c r="A31" s="636" t="s">
        <v>270</v>
      </c>
      <c r="B31" s="595" t="s">
        <v>28</v>
      </c>
      <c r="C31" s="628">
        <v>19528</v>
      </c>
      <c r="D31" s="580">
        <v>17607</v>
      </c>
      <c r="E31" s="581">
        <f t="shared" si="0"/>
        <v>90.2</v>
      </c>
      <c r="F31" s="582">
        <v>17031</v>
      </c>
      <c r="G31" s="581">
        <f t="shared" si="1"/>
        <v>87.2</v>
      </c>
      <c r="H31" s="583">
        <v>17327</v>
      </c>
      <c r="I31" s="581">
        <f t="shared" si="2"/>
        <v>88.7</v>
      </c>
      <c r="J31" s="583">
        <v>17601</v>
      </c>
      <c r="K31" s="581">
        <f t="shared" si="3"/>
        <v>90.1</v>
      </c>
      <c r="L31" s="580">
        <v>14782</v>
      </c>
      <c r="M31" s="581">
        <f t="shared" si="4"/>
        <v>75.7</v>
      </c>
      <c r="N31" s="584">
        <v>13748</v>
      </c>
      <c r="O31" s="581">
        <f t="shared" si="5"/>
        <v>70.400000000000006</v>
      </c>
      <c r="P31" s="580">
        <v>16399</v>
      </c>
      <c r="Q31" s="581">
        <f t="shared" si="19"/>
        <v>84</v>
      </c>
      <c r="R31" s="583">
        <v>16681</v>
      </c>
      <c r="S31" s="581">
        <f t="shared" si="6"/>
        <v>85.4</v>
      </c>
      <c r="T31" s="585">
        <v>6627</v>
      </c>
      <c r="U31" s="581">
        <f t="shared" si="20"/>
        <v>67.900000000000006</v>
      </c>
      <c r="V31" s="585">
        <v>8484</v>
      </c>
      <c r="W31" s="581">
        <f t="shared" si="7"/>
        <v>44.3</v>
      </c>
      <c r="X31" s="629">
        <v>19160</v>
      </c>
      <c r="Y31" s="586">
        <v>18361</v>
      </c>
      <c r="Z31" s="581">
        <f t="shared" si="8"/>
        <v>95.8</v>
      </c>
      <c r="AA31" s="580">
        <v>18371</v>
      </c>
      <c r="AB31" s="581">
        <f t="shared" si="9"/>
        <v>95.9</v>
      </c>
      <c r="AC31" s="582">
        <v>17091</v>
      </c>
      <c r="AD31" s="581">
        <f t="shared" si="10"/>
        <v>87.5</v>
      </c>
      <c r="AE31" s="583">
        <v>17420</v>
      </c>
      <c r="AF31" s="581">
        <f t="shared" si="11"/>
        <v>89.2</v>
      </c>
      <c r="AG31" s="583">
        <v>18229</v>
      </c>
      <c r="AH31" s="581">
        <f t="shared" si="12"/>
        <v>95.1</v>
      </c>
      <c r="AI31" s="583">
        <v>164</v>
      </c>
      <c r="AJ31" s="587">
        <f t="shared" si="21"/>
        <v>0.85594989561586632</v>
      </c>
      <c r="AK31" s="583">
        <v>176</v>
      </c>
      <c r="AL31" s="588">
        <v>144</v>
      </c>
      <c r="AM31" s="589">
        <v>16448</v>
      </c>
      <c r="AN31" s="581">
        <f t="shared" si="18"/>
        <v>85.8</v>
      </c>
      <c r="AO31" s="582">
        <v>17918</v>
      </c>
      <c r="AP31" s="581">
        <f t="shared" si="13"/>
        <v>93.5</v>
      </c>
      <c r="AQ31" s="582">
        <v>17929</v>
      </c>
      <c r="AR31" s="581">
        <f t="shared" si="14"/>
        <v>93.6</v>
      </c>
      <c r="AS31" s="630">
        <v>19598</v>
      </c>
      <c r="AT31" s="590">
        <v>17055</v>
      </c>
      <c r="AU31" s="581">
        <f t="shared" si="15"/>
        <v>87</v>
      </c>
      <c r="AV31" s="591">
        <v>17076</v>
      </c>
      <c r="AW31" s="581">
        <f t="shared" si="16"/>
        <v>87.1</v>
      </c>
      <c r="AX31" s="589">
        <v>16957</v>
      </c>
      <c r="AY31" s="592">
        <f t="shared" si="17"/>
        <v>86.5</v>
      </c>
      <c r="AZ31" s="589">
        <v>7987</v>
      </c>
      <c r="BA31" s="583">
        <v>21732</v>
      </c>
      <c r="BB31" s="588">
        <v>7977</v>
      </c>
    </row>
    <row r="32" spans="1:54" ht="17.100000000000001" customHeight="1" x14ac:dyDescent="0.2">
      <c r="A32" s="632" t="s">
        <v>271</v>
      </c>
      <c r="B32" s="594" t="s">
        <v>127</v>
      </c>
      <c r="C32" s="633">
        <v>9985</v>
      </c>
      <c r="D32" s="580">
        <v>6369</v>
      </c>
      <c r="E32" s="581">
        <f t="shared" si="0"/>
        <v>63.8</v>
      </c>
      <c r="F32" s="582">
        <v>7871</v>
      </c>
      <c r="G32" s="581">
        <f t="shared" si="1"/>
        <v>78.8</v>
      </c>
      <c r="H32" s="583">
        <v>7317</v>
      </c>
      <c r="I32" s="581">
        <f t="shared" si="2"/>
        <v>73.3</v>
      </c>
      <c r="J32" s="583">
        <v>6724</v>
      </c>
      <c r="K32" s="581">
        <f t="shared" si="3"/>
        <v>67.3</v>
      </c>
      <c r="L32" s="580">
        <v>10063</v>
      </c>
      <c r="M32" s="581">
        <f t="shared" si="4"/>
        <v>100.8</v>
      </c>
      <c r="N32" s="584">
        <v>9435</v>
      </c>
      <c r="O32" s="581">
        <f t="shared" si="5"/>
        <v>94.5</v>
      </c>
      <c r="P32" s="580">
        <v>6866</v>
      </c>
      <c r="Q32" s="581">
        <f t="shared" si="19"/>
        <v>68.8</v>
      </c>
      <c r="R32" s="583">
        <v>6382</v>
      </c>
      <c r="S32" s="581">
        <f t="shared" si="6"/>
        <v>63.9</v>
      </c>
      <c r="T32" s="585">
        <v>2822</v>
      </c>
      <c r="U32" s="581">
        <f t="shared" si="20"/>
        <v>56.5</v>
      </c>
      <c r="V32" s="585">
        <v>2464</v>
      </c>
      <c r="W32" s="581">
        <f t="shared" si="7"/>
        <v>23.9</v>
      </c>
      <c r="X32" s="634">
        <v>10300</v>
      </c>
      <c r="Y32" s="586">
        <v>7088</v>
      </c>
      <c r="Z32" s="581">
        <f t="shared" si="8"/>
        <v>68.8</v>
      </c>
      <c r="AA32" s="580">
        <v>6819</v>
      </c>
      <c r="AB32" s="581">
        <f t="shared" si="9"/>
        <v>66.2</v>
      </c>
      <c r="AC32" s="582">
        <v>7519</v>
      </c>
      <c r="AD32" s="581">
        <f t="shared" si="10"/>
        <v>75.3</v>
      </c>
      <c r="AE32" s="583">
        <v>7046</v>
      </c>
      <c r="AF32" s="581">
        <f t="shared" si="11"/>
        <v>70.599999999999994</v>
      </c>
      <c r="AG32" s="583">
        <v>5742</v>
      </c>
      <c r="AH32" s="581">
        <f t="shared" si="12"/>
        <v>55.7</v>
      </c>
      <c r="AI32" s="583">
        <v>1022</v>
      </c>
      <c r="AJ32" s="587">
        <f t="shared" si="21"/>
        <v>9.9223300970873787</v>
      </c>
      <c r="AK32" s="583">
        <v>909</v>
      </c>
      <c r="AL32" s="588">
        <v>787</v>
      </c>
      <c r="AM32" s="589">
        <v>5402</v>
      </c>
      <c r="AN32" s="581">
        <f t="shared" si="18"/>
        <v>52.4</v>
      </c>
      <c r="AO32" s="582">
        <v>6874</v>
      </c>
      <c r="AP32" s="581">
        <f t="shared" si="13"/>
        <v>66.7</v>
      </c>
      <c r="AQ32" s="582">
        <v>6865</v>
      </c>
      <c r="AR32" s="581">
        <f t="shared" si="14"/>
        <v>66.7</v>
      </c>
      <c r="AS32" s="635">
        <v>10181</v>
      </c>
      <c r="AT32" s="590">
        <v>6031</v>
      </c>
      <c r="AU32" s="581">
        <f>ROUND(AT32/$AS32*100,1)</f>
        <v>59.2</v>
      </c>
      <c r="AV32" s="591">
        <v>6472</v>
      </c>
      <c r="AW32" s="581">
        <f>ROUND(AV32/$AS32*100,1)</f>
        <v>63.6</v>
      </c>
      <c r="AX32" s="589">
        <v>206</v>
      </c>
      <c r="AY32" s="592">
        <f>ROUND(AX32/$AS32*100,1)</f>
        <v>2</v>
      </c>
      <c r="AZ32" s="589">
        <v>3008</v>
      </c>
      <c r="BA32" s="583">
        <v>4724</v>
      </c>
      <c r="BB32" s="588">
        <v>1229</v>
      </c>
    </row>
    <row r="33" spans="1:54" ht="17.100000000000001" customHeight="1" x14ac:dyDescent="0.2">
      <c r="A33" s="631" t="s">
        <v>272</v>
      </c>
      <c r="B33" s="593" t="s">
        <v>29</v>
      </c>
      <c r="C33" s="628">
        <v>17361</v>
      </c>
      <c r="D33" s="580">
        <v>16537</v>
      </c>
      <c r="E33" s="581">
        <f t="shared" si="0"/>
        <v>95.3</v>
      </c>
      <c r="F33" s="582">
        <v>16076</v>
      </c>
      <c r="G33" s="581">
        <f t="shared" si="1"/>
        <v>92.6</v>
      </c>
      <c r="H33" s="580">
        <v>16298</v>
      </c>
      <c r="I33" s="581">
        <f t="shared" si="2"/>
        <v>93.9</v>
      </c>
      <c r="J33" s="580">
        <v>16501</v>
      </c>
      <c r="K33" s="596">
        <f t="shared" si="3"/>
        <v>95</v>
      </c>
      <c r="L33" s="580">
        <v>16196</v>
      </c>
      <c r="M33" s="581">
        <f t="shared" si="4"/>
        <v>93.3</v>
      </c>
      <c r="N33" s="584">
        <v>16079</v>
      </c>
      <c r="O33" s="581">
        <f t="shared" si="5"/>
        <v>92.6</v>
      </c>
      <c r="P33" s="580">
        <v>15316</v>
      </c>
      <c r="Q33" s="581">
        <f t="shared" si="19"/>
        <v>88.2</v>
      </c>
      <c r="R33" s="580">
        <v>15706</v>
      </c>
      <c r="S33" s="581">
        <f t="shared" si="6"/>
        <v>90.5</v>
      </c>
      <c r="T33" s="585">
        <v>6872</v>
      </c>
      <c r="U33" s="581">
        <f t="shared" si="20"/>
        <v>79.2</v>
      </c>
      <c r="V33" s="585">
        <v>9892</v>
      </c>
      <c r="W33" s="581">
        <f t="shared" si="7"/>
        <v>57.2</v>
      </c>
      <c r="X33" s="629">
        <v>17284</v>
      </c>
      <c r="Y33" s="586">
        <v>17029</v>
      </c>
      <c r="Z33" s="581">
        <f t="shared" si="8"/>
        <v>98.5</v>
      </c>
      <c r="AA33" s="580">
        <v>17026</v>
      </c>
      <c r="AB33" s="581">
        <f t="shared" si="9"/>
        <v>98.5</v>
      </c>
      <c r="AC33" s="582">
        <v>16040</v>
      </c>
      <c r="AD33" s="581">
        <f t="shared" si="10"/>
        <v>92.4</v>
      </c>
      <c r="AE33" s="583">
        <v>16081</v>
      </c>
      <c r="AF33" s="581">
        <f t="shared" si="11"/>
        <v>92.6</v>
      </c>
      <c r="AG33" s="583">
        <v>16322</v>
      </c>
      <c r="AH33" s="581">
        <f t="shared" si="12"/>
        <v>94.4</v>
      </c>
      <c r="AI33" s="583">
        <v>261</v>
      </c>
      <c r="AJ33" s="587">
        <f t="shared" si="21"/>
        <v>1.5100671140939599</v>
      </c>
      <c r="AK33" s="583">
        <v>274</v>
      </c>
      <c r="AL33" s="588">
        <v>263</v>
      </c>
      <c r="AM33" s="589">
        <v>14853</v>
      </c>
      <c r="AN33" s="581">
        <f t="shared" si="18"/>
        <v>85.9</v>
      </c>
      <c r="AO33" s="582">
        <v>15915</v>
      </c>
      <c r="AP33" s="581">
        <f t="shared" si="13"/>
        <v>92.1</v>
      </c>
      <c r="AQ33" s="582">
        <v>16151</v>
      </c>
      <c r="AR33" s="581">
        <f t="shared" si="14"/>
        <v>93.4</v>
      </c>
      <c r="AS33" s="630">
        <v>17158</v>
      </c>
      <c r="AT33" s="590">
        <v>15504</v>
      </c>
      <c r="AU33" s="581">
        <f t="shared" si="15"/>
        <v>90.4</v>
      </c>
      <c r="AV33" s="591">
        <v>15782</v>
      </c>
      <c r="AW33" s="581">
        <f t="shared" si="16"/>
        <v>92</v>
      </c>
      <c r="AX33" s="589">
        <v>15138</v>
      </c>
      <c r="AY33" s="592">
        <f t="shared" si="17"/>
        <v>88.2</v>
      </c>
      <c r="AZ33" s="589">
        <v>3327</v>
      </c>
      <c r="BA33" s="583">
        <v>17794</v>
      </c>
      <c r="BB33" s="588">
        <v>4903</v>
      </c>
    </row>
    <row r="34" spans="1:54" ht="17.100000000000001" customHeight="1" x14ac:dyDescent="0.2">
      <c r="A34" s="636" t="s">
        <v>273</v>
      </c>
      <c r="B34" s="595" t="s">
        <v>30</v>
      </c>
      <c r="C34" s="628">
        <v>24001</v>
      </c>
      <c r="D34" s="580">
        <v>19522</v>
      </c>
      <c r="E34" s="581">
        <f t="shared" si="0"/>
        <v>81.3</v>
      </c>
      <c r="F34" s="582">
        <v>19978</v>
      </c>
      <c r="G34" s="581">
        <f t="shared" si="1"/>
        <v>83.2</v>
      </c>
      <c r="H34" s="583">
        <v>19698</v>
      </c>
      <c r="I34" s="581">
        <f t="shared" si="2"/>
        <v>82.1</v>
      </c>
      <c r="J34" s="583">
        <v>19525</v>
      </c>
      <c r="K34" s="581">
        <f t="shared" si="3"/>
        <v>81.400000000000006</v>
      </c>
      <c r="L34" s="580">
        <v>19380</v>
      </c>
      <c r="M34" s="581">
        <f t="shared" si="4"/>
        <v>80.7</v>
      </c>
      <c r="N34" s="584">
        <v>18748</v>
      </c>
      <c r="O34" s="581">
        <f t="shared" si="5"/>
        <v>78.099999999999994</v>
      </c>
      <c r="P34" s="580">
        <v>19671</v>
      </c>
      <c r="Q34" s="581">
        <f t="shared" si="19"/>
        <v>82</v>
      </c>
      <c r="R34" s="583">
        <v>19247</v>
      </c>
      <c r="S34" s="581">
        <f t="shared" si="6"/>
        <v>80.2</v>
      </c>
      <c r="T34" s="585">
        <v>12594</v>
      </c>
      <c r="U34" s="581">
        <f t="shared" si="20"/>
        <v>104.9</v>
      </c>
      <c r="V34" s="585">
        <v>18411</v>
      </c>
      <c r="W34" s="581">
        <f t="shared" si="7"/>
        <v>76.900000000000006</v>
      </c>
      <c r="X34" s="629">
        <v>23953</v>
      </c>
      <c r="Y34" s="586">
        <v>20495</v>
      </c>
      <c r="Z34" s="581">
        <f t="shared" si="8"/>
        <v>85.6</v>
      </c>
      <c r="AA34" s="580">
        <v>20505</v>
      </c>
      <c r="AB34" s="581">
        <f t="shared" si="9"/>
        <v>85.6</v>
      </c>
      <c r="AC34" s="582">
        <v>19999</v>
      </c>
      <c r="AD34" s="581">
        <f t="shared" si="10"/>
        <v>83.3</v>
      </c>
      <c r="AE34" s="583">
        <v>19741</v>
      </c>
      <c r="AF34" s="581">
        <f t="shared" si="11"/>
        <v>82.3</v>
      </c>
      <c r="AG34" s="583">
        <v>20151</v>
      </c>
      <c r="AH34" s="581">
        <f t="shared" si="12"/>
        <v>84.1</v>
      </c>
      <c r="AI34" s="583">
        <v>238</v>
      </c>
      <c r="AJ34" s="587">
        <f t="shared" si="21"/>
        <v>0.99361249112845995</v>
      </c>
      <c r="AK34" s="583">
        <v>110</v>
      </c>
      <c r="AL34" s="588">
        <v>103</v>
      </c>
      <c r="AM34" s="589">
        <v>19135</v>
      </c>
      <c r="AN34" s="581">
        <f t="shared" si="18"/>
        <v>79.900000000000006</v>
      </c>
      <c r="AO34" s="582">
        <v>20793</v>
      </c>
      <c r="AP34" s="581">
        <f t="shared" si="13"/>
        <v>86.8</v>
      </c>
      <c r="AQ34" s="582">
        <v>20810</v>
      </c>
      <c r="AR34" s="581">
        <f t="shared" si="14"/>
        <v>86.9</v>
      </c>
      <c r="AS34" s="630">
        <v>24398</v>
      </c>
      <c r="AT34" s="590">
        <v>22643</v>
      </c>
      <c r="AU34" s="581">
        <f t="shared" si="15"/>
        <v>92.8</v>
      </c>
      <c r="AV34" s="591">
        <v>22637</v>
      </c>
      <c r="AW34" s="581">
        <f t="shared" si="16"/>
        <v>92.8</v>
      </c>
      <c r="AX34" s="589">
        <v>22616</v>
      </c>
      <c r="AY34" s="592">
        <f t="shared" si="17"/>
        <v>92.7</v>
      </c>
      <c r="AZ34" s="589">
        <v>7154</v>
      </c>
      <c r="BA34" s="583">
        <v>70777</v>
      </c>
      <c r="BB34" s="588">
        <v>8988</v>
      </c>
    </row>
    <row r="35" spans="1:54" ht="17.100000000000001" customHeight="1" x14ac:dyDescent="0.2">
      <c r="A35" s="638" t="s">
        <v>274</v>
      </c>
      <c r="B35" s="597" t="s">
        <v>125</v>
      </c>
      <c r="C35" s="628">
        <v>24444</v>
      </c>
      <c r="D35" s="580">
        <v>22920</v>
      </c>
      <c r="E35" s="581">
        <f t="shared" si="0"/>
        <v>93.8</v>
      </c>
      <c r="F35" s="582">
        <v>21629</v>
      </c>
      <c r="G35" s="581">
        <f t="shared" si="1"/>
        <v>88.5</v>
      </c>
      <c r="H35" s="583">
        <v>21722</v>
      </c>
      <c r="I35" s="581">
        <f t="shared" si="2"/>
        <v>88.9</v>
      </c>
      <c r="J35" s="583">
        <v>22913</v>
      </c>
      <c r="K35" s="581">
        <f t="shared" si="3"/>
        <v>93.7</v>
      </c>
      <c r="L35" s="580">
        <v>20963</v>
      </c>
      <c r="M35" s="581">
        <f t="shared" si="4"/>
        <v>85.8</v>
      </c>
      <c r="N35" s="584">
        <v>20575</v>
      </c>
      <c r="O35" s="581">
        <f t="shared" si="5"/>
        <v>84.2</v>
      </c>
      <c r="P35" s="580">
        <v>21142</v>
      </c>
      <c r="Q35" s="581">
        <f t="shared" si="19"/>
        <v>86.5</v>
      </c>
      <c r="R35" s="583">
        <v>21225</v>
      </c>
      <c r="S35" s="581">
        <f t="shared" si="6"/>
        <v>86.8</v>
      </c>
      <c r="T35" s="585">
        <v>8088</v>
      </c>
      <c r="U35" s="581">
        <f t="shared" si="20"/>
        <v>66.2</v>
      </c>
      <c r="V35" s="585">
        <v>13641</v>
      </c>
      <c r="W35" s="581">
        <f t="shared" si="7"/>
        <v>55.7</v>
      </c>
      <c r="X35" s="629">
        <v>24473</v>
      </c>
      <c r="Y35" s="586">
        <v>23213</v>
      </c>
      <c r="Z35" s="581">
        <f t="shared" si="8"/>
        <v>94.9</v>
      </c>
      <c r="AA35" s="580">
        <v>23231</v>
      </c>
      <c r="AB35" s="581">
        <f t="shared" si="9"/>
        <v>94.9</v>
      </c>
      <c r="AC35" s="582">
        <v>21780</v>
      </c>
      <c r="AD35" s="581">
        <f t="shared" si="10"/>
        <v>89.1</v>
      </c>
      <c r="AE35" s="583">
        <v>21951</v>
      </c>
      <c r="AF35" s="581">
        <f t="shared" si="11"/>
        <v>89.8</v>
      </c>
      <c r="AG35" s="583">
        <v>22763</v>
      </c>
      <c r="AH35" s="581">
        <f t="shared" si="12"/>
        <v>93</v>
      </c>
      <c r="AI35" s="583">
        <v>177</v>
      </c>
      <c r="AJ35" s="587">
        <f t="shared" si="21"/>
        <v>0.72324602623299139</v>
      </c>
      <c r="AK35" s="583">
        <v>183</v>
      </c>
      <c r="AL35" s="588">
        <v>134</v>
      </c>
      <c r="AM35" s="589">
        <v>20392</v>
      </c>
      <c r="AN35" s="581">
        <f t="shared" si="18"/>
        <v>83.3</v>
      </c>
      <c r="AO35" s="582">
        <v>21856</v>
      </c>
      <c r="AP35" s="581">
        <f t="shared" si="13"/>
        <v>89.3</v>
      </c>
      <c r="AQ35" s="582">
        <v>21839</v>
      </c>
      <c r="AR35" s="581">
        <f t="shared" si="14"/>
        <v>89.2</v>
      </c>
      <c r="AS35" s="630">
        <v>24201</v>
      </c>
      <c r="AT35" s="590">
        <v>22508</v>
      </c>
      <c r="AU35" s="581">
        <f t="shared" si="15"/>
        <v>93</v>
      </c>
      <c r="AV35" s="591">
        <v>22482</v>
      </c>
      <c r="AW35" s="581">
        <f t="shared" si="16"/>
        <v>92.9</v>
      </c>
      <c r="AX35" s="589">
        <v>22459</v>
      </c>
      <c r="AY35" s="592">
        <f t="shared" si="17"/>
        <v>92.8</v>
      </c>
      <c r="AZ35" s="589">
        <v>7410</v>
      </c>
      <c r="BA35" s="583">
        <v>36467</v>
      </c>
      <c r="BB35" s="588">
        <v>9448</v>
      </c>
    </row>
    <row r="36" spans="1:54" ht="17.100000000000001" customHeight="1" x14ac:dyDescent="0.2">
      <c r="A36" s="636" t="s">
        <v>275</v>
      </c>
      <c r="B36" s="595" t="s">
        <v>31</v>
      </c>
      <c r="C36" s="628">
        <v>6501</v>
      </c>
      <c r="D36" s="580">
        <v>5302</v>
      </c>
      <c r="E36" s="581">
        <f t="shared" si="0"/>
        <v>81.599999999999994</v>
      </c>
      <c r="F36" s="582">
        <v>5079</v>
      </c>
      <c r="G36" s="581">
        <f t="shared" si="1"/>
        <v>78.099999999999994</v>
      </c>
      <c r="H36" s="583">
        <v>5160</v>
      </c>
      <c r="I36" s="581">
        <f t="shared" si="2"/>
        <v>79.400000000000006</v>
      </c>
      <c r="J36" s="583">
        <v>5301</v>
      </c>
      <c r="K36" s="581">
        <f t="shared" si="3"/>
        <v>81.5</v>
      </c>
      <c r="L36" s="580">
        <v>4607</v>
      </c>
      <c r="M36" s="581">
        <f t="shared" si="4"/>
        <v>70.900000000000006</v>
      </c>
      <c r="N36" s="584">
        <v>4368</v>
      </c>
      <c r="O36" s="581">
        <f t="shared" si="5"/>
        <v>67.2</v>
      </c>
      <c r="P36" s="580">
        <v>4865</v>
      </c>
      <c r="Q36" s="581">
        <f t="shared" si="19"/>
        <v>74.8</v>
      </c>
      <c r="R36" s="583">
        <v>4969</v>
      </c>
      <c r="S36" s="581">
        <f t="shared" si="6"/>
        <v>76.400000000000006</v>
      </c>
      <c r="T36" s="585">
        <v>1994</v>
      </c>
      <c r="U36" s="581">
        <f t="shared" si="20"/>
        <v>61.3</v>
      </c>
      <c r="V36" s="585">
        <v>3643</v>
      </c>
      <c r="W36" s="581">
        <f t="shared" si="7"/>
        <v>57</v>
      </c>
      <c r="X36" s="629">
        <v>6394</v>
      </c>
      <c r="Y36" s="586">
        <v>5644</v>
      </c>
      <c r="Z36" s="581">
        <f t="shared" si="8"/>
        <v>88.3</v>
      </c>
      <c r="AA36" s="580">
        <v>5655</v>
      </c>
      <c r="AB36" s="581">
        <f t="shared" si="9"/>
        <v>88.4</v>
      </c>
      <c r="AC36" s="582">
        <v>5071</v>
      </c>
      <c r="AD36" s="581">
        <f t="shared" si="10"/>
        <v>78</v>
      </c>
      <c r="AE36" s="583">
        <v>5161</v>
      </c>
      <c r="AF36" s="581">
        <f t="shared" si="11"/>
        <v>79.400000000000006</v>
      </c>
      <c r="AG36" s="583">
        <v>5586</v>
      </c>
      <c r="AH36" s="581">
        <f t="shared" si="12"/>
        <v>87.4</v>
      </c>
      <c r="AI36" s="583">
        <v>46</v>
      </c>
      <c r="AJ36" s="587">
        <f t="shared" si="21"/>
        <v>0.71942446043165476</v>
      </c>
      <c r="AK36" s="583">
        <v>88</v>
      </c>
      <c r="AL36" s="588">
        <v>41</v>
      </c>
      <c r="AM36" s="589">
        <v>5300</v>
      </c>
      <c r="AN36" s="581">
        <f t="shared" si="18"/>
        <v>82.9</v>
      </c>
      <c r="AO36" s="582">
        <v>5829</v>
      </c>
      <c r="AP36" s="581">
        <f t="shared" si="13"/>
        <v>91.2</v>
      </c>
      <c r="AQ36" s="582">
        <v>5824</v>
      </c>
      <c r="AR36" s="581">
        <f t="shared" si="14"/>
        <v>91.1</v>
      </c>
      <c r="AS36" s="630">
        <v>6450</v>
      </c>
      <c r="AT36" s="590">
        <v>5638</v>
      </c>
      <c r="AU36" s="581">
        <f t="shared" si="15"/>
        <v>87.4</v>
      </c>
      <c r="AV36" s="591">
        <v>5636</v>
      </c>
      <c r="AW36" s="581">
        <f t="shared" si="16"/>
        <v>87.4</v>
      </c>
      <c r="AX36" s="589">
        <v>5667</v>
      </c>
      <c r="AY36" s="592">
        <f t="shared" si="17"/>
        <v>87.9</v>
      </c>
      <c r="AZ36" s="589">
        <v>1022</v>
      </c>
      <c r="BA36" s="583">
        <v>7932</v>
      </c>
      <c r="BB36" s="588">
        <v>1751</v>
      </c>
    </row>
    <row r="37" spans="1:54" ht="17.100000000000001" customHeight="1" x14ac:dyDescent="0.2">
      <c r="A37" s="631" t="s">
        <v>276</v>
      </c>
      <c r="B37" s="593" t="s">
        <v>205</v>
      </c>
      <c r="C37" s="628">
        <v>7054</v>
      </c>
      <c r="D37" s="580">
        <v>5762</v>
      </c>
      <c r="E37" s="581">
        <f t="shared" si="0"/>
        <v>81.7</v>
      </c>
      <c r="F37" s="582">
        <v>5850</v>
      </c>
      <c r="G37" s="581">
        <f t="shared" si="1"/>
        <v>82.9</v>
      </c>
      <c r="H37" s="583">
        <v>5806</v>
      </c>
      <c r="I37" s="581">
        <f t="shared" si="2"/>
        <v>82.3</v>
      </c>
      <c r="J37" s="583">
        <v>5761</v>
      </c>
      <c r="K37" s="581">
        <f t="shared" si="3"/>
        <v>81.7</v>
      </c>
      <c r="L37" s="580">
        <v>6091</v>
      </c>
      <c r="M37" s="581">
        <f t="shared" si="4"/>
        <v>86.3</v>
      </c>
      <c r="N37" s="584">
        <v>5994</v>
      </c>
      <c r="O37" s="581">
        <f t="shared" si="5"/>
        <v>85</v>
      </c>
      <c r="P37" s="580">
        <v>5826</v>
      </c>
      <c r="Q37" s="581">
        <f t="shared" si="19"/>
        <v>82.6</v>
      </c>
      <c r="R37" s="583">
        <v>5754</v>
      </c>
      <c r="S37" s="581">
        <f t="shared" si="6"/>
        <v>81.599999999999994</v>
      </c>
      <c r="T37" s="585">
        <v>3054</v>
      </c>
      <c r="U37" s="581">
        <f t="shared" si="20"/>
        <v>86.6</v>
      </c>
      <c r="V37" s="585">
        <v>4538</v>
      </c>
      <c r="W37" s="581">
        <f t="shared" si="7"/>
        <v>65.099999999999994</v>
      </c>
      <c r="X37" s="629">
        <v>6969</v>
      </c>
      <c r="Y37" s="586">
        <v>6029</v>
      </c>
      <c r="Z37" s="581">
        <f t="shared" si="8"/>
        <v>86.5</v>
      </c>
      <c r="AA37" s="580">
        <v>6053</v>
      </c>
      <c r="AB37" s="581">
        <f t="shared" si="9"/>
        <v>86.9</v>
      </c>
      <c r="AC37" s="582">
        <v>5906</v>
      </c>
      <c r="AD37" s="581">
        <f t="shared" si="10"/>
        <v>83.7</v>
      </c>
      <c r="AE37" s="583">
        <v>5850</v>
      </c>
      <c r="AF37" s="581">
        <f t="shared" si="11"/>
        <v>82.9</v>
      </c>
      <c r="AG37" s="583">
        <v>6010</v>
      </c>
      <c r="AH37" s="581">
        <f t="shared" si="12"/>
        <v>86.2</v>
      </c>
      <c r="AI37" s="583">
        <v>21</v>
      </c>
      <c r="AJ37" s="587">
        <f t="shared" si="21"/>
        <v>0.30133448127421436</v>
      </c>
      <c r="AK37" s="583">
        <v>18</v>
      </c>
      <c r="AL37" s="588">
        <v>17</v>
      </c>
      <c r="AM37" s="589">
        <v>5081</v>
      </c>
      <c r="AN37" s="581">
        <f t="shared" si="18"/>
        <v>72.900000000000006</v>
      </c>
      <c r="AO37" s="582">
        <v>5933</v>
      </c>
      <c r="AP37" s="581">
        <f t="shared" si="13"/>
        <v>85.1</v>
      </c>
      <c r="AQ37" s="582">
        <v>5930</v>
      </c>
      <c r="AR37" s="581">
        <f t="shared" si="14"/>
        <v>85.1</v>
      </c>
      <c r="AS37" s="630">
        <v>7198</v>
      </c>
      <c r="AT37" s="590">
        <v>6428</v>
      </c>
      <c r="AU37" s="581">
        <f t="shared" si="15"/>
        <v>89.3</v>
      </c>
      <c r="AV37" s="591">
        <v>6398</v>
      </c>
      <c r="AW37" s="581">
        <f t="shared" si="16"/>
        <v>88.9</v>
      </c>
      <c r="AX37" s="589">
        <v>950</v>
      </c>
      <c r="AY37" s="592">
        <f t="shared" si="17"/>
        <v>13.2</v>
      </c>
      <c r="AZ37" s="589">
        <v>2182</v>
      </c>
      <c r="BA37" s="583">
        <v>31456</v>
      </c>
      <c r="BB37" s="588">
        <v>1606</v>
      </c>
    </row>
    <row r="38" spans="1:54" ht="17.100000000000001" customHeight="1" x14ac:dyDescent="0.2">
      <c r="A38" s="631" t="s">
        <v>279</v>
      </c>
      <c r="B38" s="593" t="s">
        <v>33</v>
      </c>
      <c r="C38" s="628">
        <v>12281</v>
      </c>
      <c r="D38" s="580">
        <v>11072</v>
      </c>
      <c r="E38" s="581">
        <f t="shared" si="0"/>
        <v>90.2</v>
      </c>
      <c r="F38" s="582">
        <v>11313</v>
      </c>
      <c r="G38" s="581">
        <f t="shared" si="1"/>
        <v>92.1</v>
      </c>
      <c r="H38" s="583">
        <v>11203</v>
      </c>
      <c r="I38" s="581">
        <f t="shared" si="2"/>
        <v>91.2</v>
      </c>
      <c r="J38" s="583">
        <v>11094</v>
      </c>
      <c r="K38" s="581">
        <f t="shared" si="3"/>
        <v>90.3</v>
      </c>
      <c r="L38" s="580">
        <v>11691</v>
      </c>
      <c r="M38" s="581">
        <f t="shared" si="4"/>
        <v>95.2</v>
      </c>
      <c r="N38" s="584">
        <v>11282</v>
      </c>
      <c r="O38" s="581">
        <f t="shared" si="5"/>
        <v>91.9</v>
      </c>
      <c r="P38" s="580">
        <v>11070</v>
      </c>
      <c r="Q38" s="581">
        <f t="shared" si="19"/>
        <v>90.1</v>
      </c>
      <c r="R38" s="583">
        <v>10738</v>
      </c>
      <c r="S38" s="581">
        <f t="shared" si="6"/>
        <v>87.4</v>
      </c>
      <c r="T38" s="585">
        <v>5719</v>
      </c>
      <c r="U38" s="581">
        <f t="shared" si="20"/>
        <v>93.1</v>
      </c>
      <c r="V38" s="585">
        <v>8176</v>
      </c>
      <c r="W38" s="581">
        <f t="shared" si="7"/>
        <v>66.8</v>
      </c>
      <c r="X38" s="629">
        <v>12242</v>
      </c>
      <c r="Y38" s="586">
        <v>11580</v>
      </c>
      <c r="Z38" s="581">
        <f t="shared" si="8"/>
        <v>94.6</v>
      </c>
      <c r="AA38" s="580">
        <v>11611</v>
      </c>
      <c r="AB38" s="581">
        <f t="shared" si="9"/>
        <v>94.8</v>
      </c>
      <c r="AC38" s="582">
        <v>11333</v>
      </c>
      <c r="AD38" s="581">
        <f t="shared" si="10"/>
        <v>92.3</v>
      </c>
      <c r="AE38" s="583">
        <v>11242</v>
      </c>
      <c r="AF38" s="581">
        <f t="shared" si="11"/>
        <v>91.5</v>
      </c>
      <c r="AG38" s="583">
        <v>11516</v>
      </c>
      <c r="AH38" s="581">
        <f t="shared" si="12"/>
        <v>94.1</v>
      </c>
      <c r="AI38" s="583">
        <v>141</v>
      </c>
      <c r="AJ38" s="587">
        <f t="shared" si="21"/>
        <v>1.1517725861787291</v>
      </c>
      <c r="AK38" s="583">
        <v>58</v>
      </c>
      <c r="AL38" s="588">
        <v>181</v>
      </c>
      <c r="AM38" s="589">
        <v>11082</v>
      </c>
      <c r="AN38" s="581">
        <f t="shared" si="18"/>
        <v>90.5</v>
      </c>
      <c r="AO38" s="598">
        <v>11649</v>
      </c>
      <c r="AP38" s="581">
        <f t="shared" si="13"/>
        <v>95.2</v>
      </c>
      <c r="AQ38" s="582">
        <v>11668</v>
      </c>
      <c r="AR38" s="581">
        <f t="shared" si="14"/>
        <v>95.3</v>
      </c>
      <c r="AS38" s="630">
        <v>12216</v>
      </c>
      <c r="AT38" s="590">
        <v>12115</v>
      </c>
      <c r="AU38" s="581">
        <f t="shared" si="15"/>
        <v>99.2</v>
      </c>
      <c r="AV38" s="591">
        <v>12134</v>
      </c>
      <c r="AW38" s="581">
        <f t="shared" si="16"/>
        <v>99.3</v>
      </c>
      <c r="AX38" s="589">
        <v>1218</v>
      </c>
      <c r="AY38" s="592">
        <f t="shared" si="17"/>
        <v>10</v>
      </c>
      <c r="AZ38" s="589">
        <v>8045</v>
      </c>
      <c r="BA38" s="583">
        <v>40495</v>
      </c>
      <c r="BB38" s="588">
        <v>4155</v>
      </c>
    </row>
    <row r="39" spans="1:54" ht="17.100000000000001" customHeight="1" x14ac:dyDescent="0.2">
      <c r="A39" s="631" t="s">
        <v>278</v>
      </c>
      <c r="B39" s="593" t="s">
        <v>126</v>
      </c>
      <c r="C39" s="628">
        <v>1010</v>
      </c>
      <c r="D39" s="580">
        <v>834</v>
      </c>
      <c r="E39" s="581">
        <f t="shared" si="0"/>
        <v>82.6</v>
      </c>
      <c r="F39" s="582">
        <v>878</v>
      </c>
      <c r="G39" s="581">
        <f t="shared" si="1"/>
        <v>86.9</v>
      </c>
      <c r="H39" s="583">
        <v>863</v>
      </c>
      <c r="I39" s="581">
        <f t="shared" si="2"/>
        <v>85.4</v>
      </c>
      <c r="J39" s="583">
        <v>829</v>
      </c>
      <c r="K39" s="581">
        <f t="shared" si="3"/>
        <v>82.1</v>
      </c>
      <c r="L39" s="580">
        <v>826</v>
      </c>
      <c r="M39" s="581">
        <f t="shared" si="4"/>
        <v>81.8</v>
      </c>
      <c r="N39" s="584">
        <v>818</v>
      </c>
      <c r="O39" s="581">
        <f t="shared" si="5"/>
        <v>81</v>
      </c>
      <c r="P39" s="580">
        <v>867</v>
      </c>
      <c r="Q39" s="581">
        <f t="shared" si="19"/>
        <v>85.8</v>
      </c>
      <c r="R39" s="583">
        <v>844</v>
      </c>
      <c r="S39" s="581">
        <f t="shared" si="6"/>
        <v>83.6</v>
      </c>
      <c r="T39" s="585">
        <v>523</v>
      </c>
      <c r="U39" s="581">
        <f t="shared" si="20"/>
        <v>103.6</v>
      </c>
      <c r="V39" s="585">
        <v>517</v>
      </c>
      <c r="W39" s="581">
        <f t="shared" si="7"/>
        <v>54.4</v>
      </c>
      <c r="X39" s="629">
        <v>950</v>
      </c>
      <c r="Y39" s="586">
        <v>884</v>
      </c>
      <c r="Z39" s="581">
        <f t="shared" si="8"/>
        <v>93.1</v>
      </c>
      <c r="AA39" s="580">
        <v>857</v>
      </c>
      <c r="AB39" s="581">
        <f t="shared" si="9"/>
        <v>90.2</v>
      </c>
      <c r="AC39" s="582">
        <v>2314</v>
      </c>
      <c r="AD39" s="581">
        <f t="shared" si="10"/>
        <v>229.1</v>
      </c>
      <c r="AE39" s="583">
        <v>853</v>
      </c>
      <c r="AF39" s="581">
        <f t="shared" si="11"/>
        <v>84.5</v>
      </c>
      <c r="AG39" s="583">
        <v>844</v>
      </c>
      <c r="AH39" s="581">
        <f t="shared" si="12"/>
        <v>88.8</v>
      </c>
      <c r="AI39" s="583">
        <v>2</v>
      </c>
      <c r="AJ39" s="587">
        <f t="shared" si="21"/>
        <v>0.21052631578947367</v>
      </c>
      <c r="AK39" s="583">
        <v>2</v>
      </c>
      <c r="AL39" s="588">
        <v>7</v>
      </c>
      <c r="AM39" s="589">
        <v>777</v>
      </c>
      <c r="AN39" s="581">
        <f t="shared" si="18"/>
        <v>81.8</v>
      </c>
      <c r="AO39" s="582">
        <v>907</v>
      </c>
      <c r="AP39" s="581">
        <f t="shared" si="13"/>
        <v>95.5</v>
      </c>
      <c r="AQ39" s="582">
        <v>906</v>
      </c>
      <c r="AR39" s="581">
        <f t="shared" si="14"/>
        <v>95.4</v>
      </c>
      <c r="AS39" s="630">
        <v>993</v>
      </c>
      <c r="AT39" s="590">
        <v>792</v>
      </c>
      <c r="AU39" s="581">
        <f t="shared" si="15"/>
        <v>79.8</v>
      </c>
      <c r="AV39" s="591">
        <v>791</v>
      </c>
      <c r="AW39" s="581">
        <f t="shared" si="16"/>
        <v>79.7</v>
      </c>
      <c r="AX39" s="589">
        <v>76</v>
      </c>
      <c r="AY39" s="592">
        <f t="shared" si="17"/>
        <v>7.7</v>
      </c>
      <c r="AZ39" s="589">
        <v>563</v>
      </c>
      <c r="BA39" s="583">
        <v>1145</v>
      </c>
      <c r="BB39" s="588">
        <v>478</v>
      </c>
    </row>
    <row r="40" spans="1:54" ht="17.100000000000001" customHeight="1" x14ac:dyDescent="0.2">
      <c r="A40" s="631" t="s">
        <v>277</v>
      </c>
      <c r="B40" s="593" t="s">
        <v>35</v>
      </c>
      <c r="C40" s="628">
        <v>33912</v>
      </c>
      <c r="D40" s="580">
        <v>32833</v>
      </c>
      <c r="E40" s="581">
        <f t="shared" si="0"/>
        <v>96.8</v>
      </c>
      <c r="F40" s="582">
        <v>29026</v>
      </c>
      <c r="G40" s="581">
        <f t="shared" si="1"/>
        <v>85.6</v>
      </c>
      <c r="H40" s="583">
        <v>32740</v>
      </c>
      <c r="I40" s="581">
        <f t="shared" si="2"/>
        <v>96.5</v>
      </c>
      <c r="J40" s="583">
        <v>32846</v>
      </c>
      <c r="K40" s="581">
        <f t="shared" si="3"/>
        <v>96.9</v>
      </c>
      <c r="L40" s="580">
        <v>33105</v>
      </c>
      <c r="M40" s="581">
        <f t="shared" si="4"/>
        <v>97.6</v>
      </c>
      <c r="N40" s="584">
        <v>32881</v>
      </c>
      <c r="O40" s="581">
        <f t="shared" si="5"/>
        <v>97</v>
      </c>
      <c r="P40" s="580">
        <v>28590</v>
      </c>
      <c r="Q40" s="581">
        <f t="shared" si="19"/>
        <v>84.3</v>
      </c>
      <c r="R40" s="583">
        <v>32360</v>
      </c>
      <c r="S40" s="581">
        <f t="shared" si="6"/>
        <v>95.4</v>
      </c>
      <c r="T40" s="585">
        <v>14511</v>
      </c>
      <c r="U40" s="581">
        <f t="shared" si="20"/>
        <v>85.6</v>
      </c>
      <c r="V40" s="585">
        <v>17476</v>
      </c>
      <c r="W40" s="581">
        <f t="shared" si="7"/>
        <v>51.9</v>
      </c>
      <c r="X40" s="629">
        <v>33685</v>
      </c>
      <c r="Y40" s="586">
        <v>32715</v>
      </c>
      <c r="Z40" s="581">
        <f t="shared" si="8"/>
        <v>97.1</v>
      </c>
      <c r="AA40" s="580">
        <v>32714</v>
      </c>
      <c r="AB40" s="581">
        <f t="shared" si="9"/>
        <v>97.1</v>
      </c>
      <c r="AC40" s="582">
        <v>28962</v>
      </c>
      <c r="AD40" s="581">
        <f t="shared" si="10"/>
        <v>85.4</v>
      </c>
      <c r="AE40" s="583">
        <v>32644</v>
      </c>
      <c r="AF40" s="581">
        <f t="shared" si="11"/>
        <v>96.3</v>
      </c>
      <c r="AG40" s="583">
        <v>30623</v>
      </c>
      <c r="AH40" s="581">
        <f t="shared" si="12"/>
        <v>90.9</v>
      </c>
      <c r="AI40" s="583">
        <v>627</v>
      </c>
      <c r="AJ40" s="587">
        <f t="shared" si="21"/>
        <v>1.8613626243134926</v>
      </c>
      <c r="AK40" s="583">
        <v>86</v>
      </c>
      <c r="AL40" s="588">
        <v>290</v>
      </c>
      <c r="AM40" s="589">
        <v>28534</v>
      </c>
      <c r="AN40" s="581">
        <f t="shared" si="18"/>
        <v>84.7</v>
      </c>
      <c r="AO40" s="582">
        <v>28430</v>
      </c>
      <c r="AP40" s="581">
        <f t="shared" si="13"/>
        <v>84.4</v>
      </c>
      <c r="AQ40" s="582">
        <v>28463</v>
      </c>
      <c r="AR40" s="581">
        <f t="shared" si="14"/>
        <v>84.5</v>
      </c>
      <c r="AS40" s="630">
        <v>33266</v>
      </c>
      <c r="AT40" s="590">
        <v>27340</v>
      </c>
      <c r="AU40" s="581">
        <f t="shared" si="15"/>
        <v>82.2</v>
      </c>
      <c r="AV40" s="591">
        <v>27256</v>
      </c>
      <c r="AW40" s="581">
        <f t="shared" si="16"/>
        <v>81.900000000000006</v>
      </c>
      <c r="AX40" s="589">
        <v>4155</v>
      </c>
      <c r="AY40" s="592">
        <f t="shared" si="17"/>
        <v>12.5</v>
      </c>
      <c r="AZ40" s="589">
        <v>11927</v>
      </c>
      <c r="BA40" s="583">
        <v>50464</v>
      </c>
      <c r="BB40" s="588">
        <v>11933</v>
      </c>
    </row>
    <row r="41" spans="1:54" ht="17.100000000000001" customHeight="1" x14ac:dyDescent="0.2">
      <c r="A41" s="631" t="s">
        <v>280</v>
      </c>
      <c r="B41" s="593" t="s">
        <v>36</v>
      </c>
      <c r="C41" s="628">
        <v>18196</v>
      </c>
      <c r="D41" s="580">
        <v>15653</v>
      </c>
      <c r="E41" s="581">
        <f t="shared" si="0"/>
        <v>86</v>
      </c>
      <c r="F41" s="582">
        <v>15540</v>
      </c>
      <c r="G41" s="581">
        <f t="shared" si="1"/>
        <v>85.4</v>
      </c>
      <c r="H41" s="583">
        <v>15659</v>
      </c>
      <c r="I41" s="581">
        <f t="shared" si="2"/>
        <v>86.1</v>
      </c>
      <c r="J41" s="583">
        <v>15643</v>
      </c>
      <c r="K41" s="581">
        <f t="shared" si="3"/>
        <v>86</v>
      </c>
      <c r="L41" s="580">
        <v>14987</v>
      </c>
      <c r="M41" s="581">
        <f t="shared" si="4"/>
        <v>82.4</v>
      </c>
      <c r="N41" s="584">
        <v>14477</v>
      </c>
      <c r="O41" s="581">
        <f t="shared" si="5"/>
        <v>79.599999999999994</v>
      </c>
      <c r="P41" s="580">
        <v>15240</v>
      </c>
      <c r="Q41" s="581">
        <f t="shared" si="19"/>
        <v>83.8</v>
      </c>
      <c r="R41" s="583">
        <v>15262</v>
      </c>
      <c r="S41" s="581">
        <f t="shared" si="6"/>
        <v>83.9</v>
      </c>
      <c r="T41" s="585">
        <v>7005</v>
      </c>
      <c r="U41" s="581">
        <f t="shared" si="20"/>
        <v>77</v>
      </c>
      <c r="V41" s="585">
        <v>11935</v>
      </c>
      <c r="W41" s="581">
        <f t="shared" si="7"/>
        <v>66.7</v>
      </c>
      <c r="X41" s="629">
        <v>17883</v>
      </c>
      <c r="Y41" s="586">
        <v>16341</v>
      </c>
      <c r="Z41" s="581">
        <f t="shared" si="8"/>
        <v>91.4</v>
      </c>
      <c r="AA41" s="580">
        <v>16680</v>
      </c>
      <c r="AB41" s="581">
        <f t="shared" si="9"/>
        <v>93.3</v>
      </c>
      <c r="AC41" s="582">
        <v>15647</v>
      </c>
      <c r="AD41" s="581">
        <f t="shared" si="10"/>
        <v>86</v>
      </c>
      <c r="AE41" s="583">
        <v>15753</v>
      </c>
      <c r="AF41" s="581">
        <f t="shared" si="11"/>
        <v>86.6</v>
      </c>
      <c r="AG41" s="583">
        <v>16156</v>
      </c>
      <c r="AH41" s="581">
        <f t="shared" si="12"/>
        <v>90.3</v>
      </c>
      <c r="AI41" s="583">
        <v>55</v>
      </c>
      <c r="AJ41" s="587">
        <f t="shared" si="21"/>
        <v>0.30755466085108762</v>
      </c>
      <c r="AK41" s="583">
        <v>47</v>
      </c>
      <c r="AL41" s="588">
        <v>28</v>
      </c>
      <c r="AM41" s="589">
        <v>15068</v>
      </c>
      <c r="AN41" s="581">
        <f t="shared" si="18"/>
        <v>84.3</v>
      </c>
      <c r="AO41" s="582">
        <v>15871</v>
      </c>
      <c r="AP41" s="581">
        <f t="shared" si="13"/>
        <v>88.7</v>
      </c>
      <c r="AQ41" s="582">
        <v>15846</v>
      </c>
      <c r="AR41" s="581">
        <f t="shared" si="14"/>
        <v>88.6</v>
      </c>
      <c r="AS41" s="630">
        <v>17544</v>
      </c>
      <c r="AT41" s="590">
        <v>16311</v>
      </c>
      <c r="AU41" s="581">
        <f t="shared" si="15"/>
        <v>93</v>
      </c>
      <c r="AV41" s="591">
        <v>16285</v>
      </c>
      <c r="AW41" s="581">
        <f t="shared" si="16"/>
        <v>92.8</v>
      </c>
      <c r="AX41" s="589">
        <v>16093</v>
      </c>
      <c r="AY41" s="592">
        <f t="shared" si="17"/>
        <v>91.7</v>
      </c>
      <c r="AZ41" s="589">
        <v>2422</v>
      </c>
      <c r="BA41" s="583">
        <v>23763</v>
      </c>
      <c r="BB41" s="588">
        <v>9866</v>
      </c>
    </row>
    <row r="42" spans="1:54" ht="17.100000000000001" customHeight="1" x14ac:dyDescent="0.2">
      <c r="A42" s="631" t="s">
        <v>281</v>
      </c>
      <c r="B42" s="593" t="s">
        <v>37</v>
      </c>
      <c r="C42" s="628">
        <v>21959</v>
      </c>
      <c r="D42" s="580">
        <v>19250</v>
      </c>
      <c r="E42" s="581">
        <f t="shared" si="0"/>
        <v>87.7</v>
      </c>
      <c r="F42" s="582">
        <v>18975</v>
      </c>
      <c r="G42" s="581">
        <f t="shared" si="1"/>
        <v>86.4</v>
      </c>
      <c r="H42" s="583">
        <v>19075</v>
      </c>
      <c r="I42" s="581">
        <f t="shared" si="2"/>
        <v>86.9</v>
      </c>
      <c r="J42" s="583">
        <v>19240</v>
      </c>
      <c r="K42" s="581">
        <f t="shared" si="3"/>
        <v>87.6</v>
      </c>
      <c r="L42" s="580">
        <v>17980</v>
      </c>
      <c r="M42" s="581">
        <f t="shared" si="4"/>
        <v>81.900000000000006</v>
      </c>
      <c r="N42" s="584">
        <v>17240</v>
      </c>
      <c r="O42" s="581">
        <f t="shared" si="5"/>
        <v>78.5</v>
      </c>
      <c r="P42" s="580">
        <v>18434</v>
      </c>
      <c r="Q42" s="581">
        <f t="shared" si="19"/>
        <v>83.9</v>
      </c>
      <c r="R42" s="583">
        <v>18504</v>
      </c>
      <c r="S42" s="581">
        <f t="shared" si="6"/>
        <v>84.3</v>
      </c>
      <c r="T42" s="585">
        <v>9296</v>
      </c>
      <c r="U42" s="581">
        <f t="shared" si="20"/>
        <v>84.7</v>
      </c>
      <c r="V42" s="585">
        <v>14099</v>
      </c>
      <c r="W42" s="581">
        <f t="shared" si="7"/>
        <v>63.4</v>
      </c>
      <c r="X42" s="629">
        <v>22253</v>
      </c>
      <c r="Y42" s="586">
        <v>19706</v>
      </c>
      <c r="Z42" s="581">
        <f t="shared" si="8"/>
        <v>88.6</v>
      </c>
      <c r="AA42" s="580">
        <v>19680</v>
      </c>
      <c r="AB42" s="581">
        <f t="shared" si="9"/>
        <v>88.4</v>
      </c>
      <c r="AC42" s="582">
        <v>18832</v>
      </c>
      <c r="AD42" s="581">
        <f t="shared" si="10"/>
        <v>85.8</v>
      </c>
      <c r="AE42" s="583">
        <v>19110</v>
      </c>
      <c r="AF42" s="581">
        <f t="shared" si="11"/>
        <v>87</v>
      </c>
      <c r="AG42" s="583">
        <v>19458</v>
      </c>
      <c r="AH42" s="581">
        <f t="shared" si="12"/>
        <v>87.4</v>
      </c>
      <c r="AI42" s="583">
        <v>293</v>
      </c>
      <c r="AJ42" s="587">
        <f t="shared" si="21"/>
        <v>1.3166764031815934</v>
      </c>
      <c r="AK42" s="583">
        <v>149</v>
      </c>
      <c r="AL42" s="588">
        <v>265</v>
      </c>
      <c r="AM42" s="589">
        <v>17099</v>
      </c>
      <c r="AN42" s="581">
        <f t="shared" si="18"/>
        <v>76.8</v>
      </c>
      <c r="AO42" s="582">
        <v>19941</v>
      </c>
      <c r="AP42" s="581">
        <f t="shared" si="13"/>
        <v>89.6</v>
      </c>
      <c r="AQ42" s="582">
        <v>19930</v>
      </c>
      <c r="AR42" s="581">
        <f t="shared" si="14"/>
        <v>89.6</v>
      </c>
      <c r="AS42" s="630">
        <v>22335</v>
      </c>
      <c r="AT42" s="590">
        <v>20036</v>
      </c>
      <c r="AU42" s="581">
        <f t="shared" si="15"/>
        <v>89.7</v>
      </c>
      <c r="AV42" s="591">
        <v>20027</v>
      </c>
      <c r="AW42" s="581">
        <f t="shared" si="16"/>
        <v>89.7</v>
      </c>
      <c r="AX42" s="589">
        <v>11966</v>
      </c>
      <c r="AY42" s="592">
        <f t="shared" si="17"/>
        <v>53.6</v>
      </c>
      <c r="AZ42" s="589">
        <v>11472</v>
      </c>
      <c r="BA42" s="583">
        <v>32811</v>
      </c>
      <c r="BB42" s="588">
        <v>7933</v>
      </c>
    </row>
    <row r="43" spans="1:54" ht="17.100000000000001" customHeight="1" x14ac:dyDescent="0.2">
      <c r="A43" s="636" t="s">
        <v>282</v>
      </c>
      <c r="B43" s="595" t="s">
        <v>38</v>
      </c>
      <c r="C43" s="628">
        <v>70777</v>
      </c>
      <c r="D43" s="580">
        <v>67303</v>
      </c>
      <c r="E43" s="581">
        <f t="shared" si="0"/>
        <v>95.1</v>
      </c>
      <c r="F43" s="582">
        <v>67309</v>
      </c>
      <c r="G43" s="581">
        <f t="shared" si="1"/>
        <v>95.1</v>
      </c>
      <c r="H43" s="583">
        <v>67455</v>
      </c>
      <c r="I43" s="581">
        <f t="shared" si="2"/>
        <v>95.3</v>
      </c>
      <c r="J43" s="583">
        <v>66896</v>
      </c>
      <c r="K43" s="581">
        <f t="shared" si="3"/>
        <v>94.5</v>
      </c>
      <c r="L43" s="580">
        <v>57908</v>
      </c>
      <c r="M43" s="581">
        <f t="shared" si="4"/>
        <v>81.8</v>
      </c>
      <c r="N43" s="584">
        <v>56426</v>
      </c>
      <c r="O43" s="581">
        <f t="shared" si="5"/>
        <v>79.7</v>
      </c>
      <c r="P43" s="580">
        <v>62100</v>
      </c>
      <c r="Q43" s="581">
        <f t="shared" si="19"/>
        <v>87.7</v>
      </c>
      <c r="R43" s="583">
        <v>62260</v>
      </c>
      <c r="S43" s="581">
        <f t="shared" si="6"/>
        <v>88</v>
      </c>
      <c r="T43" s="585">
        <v>35863</v>
      </c>
      <c r="U43" s="581">
        <f t="shared" si="20"/>
        <v>101.3</v>
      </c>
      <c r="V43" s="585">
        <v>57347</v>
      </c>
      <c r="W43" s="581">
        <f t="shared" si="7"/>
        <v>81.599999999999994</v>
      </c>
      <c r="X43" s="629">
        <v>70270</v>
      </c>
      <c r="Y43" s="586">
        <v>64283</v>
      </c>
      <c r="Z43" s="581">
        <f t="shared" si="8"/>
        <v>91.5</v>
      </c>
      <c r="AA43" s="580">
        <v>63849</v>
      </c>
      <c r="AB43" s="581">
        <f t="shared" si="9"/>
        <v>90.9</v>
      </c>
      <c r="AC43" s="582">
        <v>66245</v>
      </c>
      <c r="AD43" s="581">
        <f t="shared" si="10"/>
        <v>93.6</v>
      </c>
      <c r="AE43" s="583">
        <v>66889</v>
      </c>
      <c r="AF43" s="581">
        <f t="shared" si="11"/>
        <v>94.5</v>
      </c>
      <c r="AG43" s="583">
        <v>56690</v>
      </c>
      <c r="AH43" s="581">
        <f t="shared" si="12"/>
        <v>80.7</v>
      </c>
      <c r="AI43" s="583">
        <v>3060</v>
      </c>
      <c r="AJ43" s="587">
        <f t="shared" si="21"/>
        <v>4.3546321332005125</v>
      </c>
      <c r="AK43" s="583">
        <v>2509</v>
      </c>
      <c r="AL43" s="588">
        <v>3468</v>
      </c>
      <c r="AM43" s="589">
        <v>58941</v>
      </c>
      <c r="AN43" s="581">
        <f t="shared" si="18"/>
        <v>83.9</v>
      </c>
      <c r="AO43" s="582">
        <v>63938</v>
      </c>
      <c r="AP43" s="581">
        <f t="shared" si="13"/>
        <v>91</v>
      </c>
      <c r="AQ43" s="582">
        <v>63354</v>
      </c>
      <c r="AR43" s="581">
        <f t="shared" si="14"/>
        <v>90.2</v>
      </c>
      <c r="AS43" s="630">
        <v>69301</v>
      </c>
      <c r="AT43" s="590">
        <v>63968</v>
      </c>
      <c r="AU43" s="581">
        <f t="shared" si="15"/>
        <v>92.3</v>
      </c>
      <c r="AV43" s="591">
        <v>63455</v>
      </c>
      <c r="AW43" s="581">
        <f t="shared" si="16"/>
        <v>91.6</v>
      </c>
      <c r="AX43" s="589">
        <v>63379</v>
      </c>
      <c r="AY43" s="592">
        <f t="shared" si="17"/>
        <v>91.5</v>
      </c>
      <c r="AZ43" s="589">
        <v>23568</v>
      </c>
      <c r="BA43" s="583">
        <v>118979</v>
      </c>
      <c r="BB43" s="588">
        <v>47050</v>
      </c>
    </row>
    <row r="44" spans="1:54" ht="17.100000000000001" customHeight="1" x14ac:dyDescent="0.2">
      <c r="A44" s="636" t="s">
        <v>283</v>
      </c>
      <c r="B44" s="595" t="s">
        <v>128</v>
      </c>
      <c r="C44" s="628">
        <v>1238</v>
      </c>
      <c r="D44" s="580">
        <v>695</v>
      </c>
      <c r="E44" s="581">
        <f>ROUND(D44/$C44*100,1)</f>
        <v>56.1</v>
      </c>
      <c r="F44" s="582">
        <v>827</v>
      </c>
      <c r="G44" s="581">
        <f t="shared" si="1"/>
        <v>66.8</v>
      </c>
      <c r="H44" s="583">
        <v>743</v>
      </c>
      <c r="I44" s="581">
        <f t="shared" si="2"/>
        <v>60</v>
      </c>
      <c r="J44" s="583">
        <v>697</v>
      </c>
      <c r="K44" s="581">
        <f t="shared" si="3"/>
        <v>56.3</v>
      </c>
      <c r="L44" s="580">
        <v>763</v>
      </c>
      <c r="M44" s="581">
        <f t="shared" si="4"/>
        <v>61.6</v>
      </c>
      <c r="N44" s="584">
        <v>520</v>
      </c>
      <c r="O44" s="581">
        <f t="shared" si="5"/>
        <v>42</v>
      </c>
      <c r="P44" s="580">
        <v>695</v>
      </c>
      <c r="Q44" s="581">
        <f t="shared" si="19"/>
        <v>56.1</v>
      </c>
      <c r="R44" s="583">
        <v>567</v>
      </c>
      <c r="S44" s="581">
        <f t="shared" si="6"/>
        <v>45.8</v>
      </c>
      <c r="T44" s="585">
        <v>169</v>
      </c>
      <c r="U44" s="581">
        <f t="shared" si="20"/>
        <v>27.3</v>
      </c>
      <c r="V44" s="585">
        <v>326</v>
      </c>
      <c r="W44" s="581">
        <f t="shared" si="7"/>
        <v>26.7</v>
      </c>
      <c r="X44" s="629">
        <v>1219</v>
      </c>
      <c r="Y44" s="586">
        <v>848</v>
      </c>
      <c r="Z44" s="581">
        <f t="shared" si="8"/>
        <v>69.599999999999994</v>
      </c>
      <c r="AA44" s="580">
        <v>860</v>
      </c>
      <c r="AB44" s="581">
        <f t="shared" si="9"/>
        <v>70.5</v>
      </c>
      <c r="AC44" s="582">
        <v>813</v>
      </c>
      <c r="AD44" s="581">
        <f t="shared" si="10"/>
        <v>65.7</v>
      </c>
      <c r="AE44" s="583">
        <v>744</v>
      </c>
      <c r="AF44" s="581">
        <f t="shared" si="11"/>
        <v>60.1</v>
      </c>
      <c r="AG44" s="583">
        <v>661</v>
      </c>
      <c r="AH44" s="581">
        <f t="shared" si="12"/>
        <v>54.2</v>
      </c>
      <c r="AI44" s="583">
        <v>47</v>
      </c>
      <c r="AJ44" s="587">
        <f t="shared" si="21"/>
        <v>3.8556193601312549</v>
      </c>
      <c r="AK44" s="583">
        <v>57</v>
      </c>
      <c r="AL44" s="588">
        <v>32</v>
      </c>
      <c r="AM44" s="589">
        <v>769</v>
      </c>
      <c r="AN44" s="581">
        <f t="shared" si="18"/>
        <v>63.1</v>
      </c>
      <c r="AO44" s="582">
        <v>885</v>
      </c>
      <c r="AP44" s="581">
        <f t="shared" si="13"/>
        <v>72.599999999999994</v>
      </c>
      <c r="AQ44" s="582">
        <v>881</v>
      </c>
      <c r="AR44" s="581">
        <f t="shared" si="14"/>
        <v>72.3</v>
      </c>
      <c r="AS44" s="630">
        <v>1134</v>
      </c>
      <c r="AT44" s="590">
        <v>659</v>
      </c>
      <c r="AU44" s="581">
        <f t="shared" si="15"/>
        <v>58.1</v>
      </c>
      <c r="AV44" s="591">
        <v>662</v>
      </c>
      <c r="AW44" s="581">
        <f t="shared" si="16"/>
        <v>58.4</v>
      </c>
      <c r="AX44" s="589">
        <v>160</v>
      </c>
      <c r="AY44" s="592">
        <f t="shared" si="17"/>
        <v>14.1</v>
      </c>
      <c r="AZ44" s="589">
        <v>343</v>
      </c>
      <c r="BA44" s="583">
        <v>522</v>
      </c>
      <c r="BB44" s="588">
        <v>300</v>
      </c>
    </row>
    <row r="45" spans="1:54" ht="17.100000000000001" customHeight="1" thickBot="1" x14ac:dyDescent="0.25">
      <c r="A45" s="639" t="s">
        <v>284</v>
      </c>
      <c r="B45" s="599" t="s">
        <v>40</v>
      </c>
      <c r="C45" s="640">
        <v>2012</v>
      </c>
      <c r="D45" s="600">
        <v>1075</v>
      </c>
      <c r="E45" s="601">
        <f t="shared" si="0"/>
        <v>53.4</v>
      </c>
      <c r="F45" s="602">
        <v>1683</v>
      </c>
      <c r="G45" s="601">
        <f t="shared" si="1"/>
        <v>83.6</v>
      </c>
      <c r="H45" s="603">
        <v>1390</v>
      </c>
      <c r="I45" s="601">
        <f t="shared" si="2"/>
        <v>69.099999999999994</v>
      </c>
      <c r="J45" s="603">
        <v>1071</v>
      </c>
      <c r="K45" s="601">
        <f t="shared" si="3"/>
        <v>53.2</v>
      </c>
      <c r="L45" s="600">
        <v>1478</v>
      </c>
      <c r="M45" s="601">
        <f t="shared" si="4"/>
        <v>73.5</v>
      </c>
      <c r="N45" s="604">
        <v>822</v>
      </c>
      <c r="O45" s="601">
        <f t="shared" si="5"/>
        <v>40.9</v>
      </c>
      <c r="P45" s="600">
        <v>1114</v>
      </c>
      <c r="Q45" s="605">
        <f t="shared" si="19"/>
        <v>55.4</v>
      </c>
      <c r="R45" s="603">
        <v>978</v>
      </c>
      <c r="S45" s="601">
        <f t="shared" si="6"/>
        <v>48.6</v>
      </c>
      <c r="T45" s="606">
        <v>247</v>
      </c>
      <c r="U45" s="581">
        <f t="shared" si="20"/>
        <v>24.6</v>
      </c>
      <c r="V45" s="606">
        <v>601</v>
      </c>
      <c r="W45" s="601">
        <f t="shared" si="7"/>
        <v>30.4</v>
      </c>
      <c r="X45" s="641">
        <v>1978</v>
      </c>
      <c r="Y45" s="607">
        <v>1720</v>
      </c>
      <c r="Z45" s="601">
        <f t="shared" si="8"/>
        <v>87</v>
      </c>
      <c r="AA45" s="600">
        <v>1735</v>
      </c>
      <c r="AB45" s="601">
        <f t="shared" si="9"/>
        <v>87.7</v>
      </c>
      <c r="AC45" s="602">
        <v>1704</v>
      </c>
      <c r="AD45" s="601">
        <f t="shared" si="10"/>
        <v>84.7</v>
      </c>
      <c r="AE45" s="603">
        <v>1383</v>
      </c>
      <c r="AF45" s="601">
        <f t="shared" si="11"/>
        <v>68.7</v>
      </c>
      <c r="AG45" s="603">
        <v>1046</v>
      </c>
      <c r="AH45" s="601">
        <f t="shared" si="12"/>
        <v>52.9</v>
      </c>
      <c r="AI45" s="603">
        <v>315</v>
      </c>
      <c r="AJ45" s="608">
        <f t="shared" si="21"/>
        <v>15.925176946410517</v>
      </c>
      <c r="AK45" s="603">
        <v>313</v>
      </c>
      <c r="AL45" s="609">
        <v>234</v>
      </c>
      <c r="AM45" s="610">
        <v>1280</v>
      </c>
      <c r="AN45" s="601">
        <f t="shared" si="18"/>
        <v>64.7</v>
      </c>
      <c r="AO45" s="602">
        <v>1681</v>
      </c>
      <c r="AP45" s="601">
        <f t="shared" si="13"/>
        <v>85</v>
      </c>
      <c r="AQ45" s="602">
        <v>1699</v>
      </c>
      <c r="AR45" s="601">
        <f t="shared" si="14"/>
        <v>85.9</v>
      </c>
      <c r="AS45" s="642">
        <v>1855</v>
      </c>
      <c r="AT45" s="611">
        <v>1188</v>
      </c>
      <c r="AU45" s="601">
        <f t="shared" si="15"/>
        <v>64</v>
      </c>
      <c r="AV45" s="612">
        <v>1194</v>
      </c>
      <c r="AW45" s="601">
        <f t="shared" si="16"/>
        <v>64.400000000000006</v>
      </c>
      <c r="AX45" s="610">
        <v>1135</v>
      </c>
      <c r="AY45" s="613">
        <f t="shared" si="17"/>
        <v>61.2</v>
      </c>
      <c r="AZ45" s="707">
        <v>568</v>
      </c>
      <c r="BA45" s="708">
        <v>755</v>
      </c>
      <c r="BB45" s="709">
        <v>538</v>
      </c>
    </row>
    <row r="46" spans="1:54" ht="20.100000000000001" customHeight="1" thickBot="1" x14ac:dyDescent="0.25">
      <c r="A46" s="643"/>
      <c r="B46" s="643" t="s">
        <v>41</v>
      </c>
      <c r="C46" s="644">
        <f>SUM(C10:C45)</f>
        <v>796361</v>
      </c>
      <c r="D46" s="645">
        <f>SUM(D10:D45)</f>
        <v>724286</v>
      </c>
      <c r="E46" s="615">
        <f t="shared" si="0"/>
        <v>90.9</v>
      </c>
      <c r="F46" s="646">
        <f>SUM(F10:F45)</f>
        <v>710687</v>
      </c>
      <c r="G46" s="615">
        <f t="shared" si="1"/>
        <v>89.2</v>
      </c>
      <c r="H46" s="646">
        <f>SUM(H10:H45)</f>
        <v>717283</v>
      </c>
      <c r="I46" s="615">
        <f t="shared" si="2"/>
        <v>90.1</v>
      </c>
      <c r="J46" s="646">
        <f>SUM(J10:J45)</f>
        <v>724408</v>
      </c>
      <c r="K46" s="615">
        <f t="shared" si="3"/>
        <v>91</v>
      </c>
      <c r="L46" s="646">
        <f>SUM(L10:L45)</f>
        <v>684037</v>
      </c>
      <c r="M46" s="615">
        <f t="shared" si="4"/>
        <v>85.9</v>
      </c>
      <c r="N46" s="646">
        <f>SUM(N10:N45)</f>
        <v>655052</v>
      </c>
      <c r="O46" s="615">
        <f t="shared" si="5"/>
        <v>82.3</v>
      </c>
      <c r="P46" s="647">
        <f>SUM(P10:P45)</f>
        <v>688547</v>
      </c>
      <c r="Q46" s="614">
        <f t="shared" si="19"/>
        <v>86.5</v>
      </c>
      <c r="R46" s="646">
        <f>SUM(R10:R45)</f>
        <v>693746</v>
      </c>
      <c r="S46" s="615">
        <f t="shared" si="6"/>
        <v>87.1</v>
      </c>
      <c r="T46" s="646">
        <f>SUM(T10:T45)</f>
        <v>328290</v>
      </c>
      <c r="U46" s="648">
        <f t="shared" si="20"/>
        <v>82.4</v>
      </c>
      <c r="V46" s="646">
        <f>SUM(V10:V45)</f>
        <v>474758</v>
      </c>
      <c r="W46" s="615">
        <f t="shared" si="7"/>
        <v>59.9</v>
      </c>
      <c r="X46" s="649">
        <f>SUM(X10:X45)</f>
        <v>793100</v>
      </c>
      <c r="Y46" s="645">
        <f>SUM(Y10:Y45)</f>
        <v>732888</v>
      </c>
      <c r="Z46" s="615">
        <f t="shared" si="8"/>
        <v>92.4</v>
      </c>
      <c r="AA46" s="645">
        <f>SUM(AA10:AA45)</f>
        <v>726700</v>
      </c>
      <c r="AB46" s="615">
        <f t="shared" si="9"/>
        <v>91.6</v>
      </c>
      <c r="AC46" s="647">
        <f>SUM(AC10:AC45)</f>
        <v>711991</v>
      </c>
      <c r="AD46" s="615">
        <f t="shared" si="10"/>
        <v>89.4</v>
      </c>
      <c r="AE46" s="646">
        <f>SUM(AE10:AE45)</f>
        <v>718312</v>
      </c>
      <c r="AF46" s="615">
        <f t="shared" si="11"/>
        <v>90.2</v>
      </c>
      <c r="AG46" s="646">
        <f>SUM(AG10:AG45)</f>
        <v>693178</v>
      </c>
      <c r="AH46" s="615">
        <f t="shared" si="12"/>
        <v>87.4</v>
      </c>
      <c r="AI46" s="646">
        <f>SUM(AI10:AI45)</f>
        <v>13411</v>
      </c>
      <c r="AJ46" s="615">
        <f t="shared" si="21"/>
        <v>1.6909595259109824</v>
      </c>
      <c r="AK46" s="646">
        <f>SUM(AK10:AK45)</f>
        <v>9819</v>
      </c>
      <c r="AL46" s="650">
        <f>SUM(AL10:AL45)</f>
        <v>12032</v>
      </c>
      <c r="AM46" s="646">
        <f>SUM(AM10:AM45)</f>
        <v>629508</v>
      </c>
      <c r="AN46" s="615">
        <f t="shared" si="18"/>
        <v>79.400000000000006</v>
      </c>
      <c r="AO46" s="651">
        <f>SUM(AO10:AO45)</f>
        <v>689527</v>
      </c>
      <c r="AP46" s="615">
        <f t="shared" si="13"/>
        <v>86.9</v>
      </c>
      <c r="AQ46" s="647">
        <f>SUM(AQ10:AQ45)</f>
        <v>688620</v>
      </c>
      <c r="AR46" s="615">
        <f t="shared" si="14"/>
        <v>86.8</v>
      </c>
      <c r="AS46" s="652">
        <f>SUM(AS10:AS45)</f>
        <v>789831</v>
      </c>
      <c r="AT46" s="646">
        <f>SUM(AT10:AT45)</f>
        <v>707699</v>
      </c>
      <c r="AU46" s="615">
        <f t="shared" si="15"/>
        <v>89.6</v>
      </c>
      <c r="AV46" s="646">
        <f>SUM(AV10:AV45)</f>
        <v>709063</v>
      </c>
      <c r="AW46" s="615">
        <f t="shared" si="16"/>
        <v>89.8</v>
      </c>
      <c r="AX46" s="646">
        <f>SUM(AX10:AX45)</f>
        <v>571070</v>
      </c>
      <c r="AY46" s="653">
        <f t="shared" si="17"/>
        <v>72.3</v>
      </c>
      <c r="AZ46" s="654">
        <f>SUM(AZ10:AZ45)</f>
        <v>301257</v>
      </c>
      <c r="BA46" s="655">
        <f t="shared" ref="BA46:BB46" si="22">SUM(BA10:BA45)</f>
        <v>1388035</v>
      </c>
      <c r="BB46" s="656">
        <f t="shared" si="22"/>
        <v>290003</v>
      </c>
    </row>
    <row r="47" spans="1:54" x14ac:dyDescent="0.2">
      <c r="A47" s="657"/>
      <c r="B47" s="657" t="s">
        <v>227</v>
      </c>
      <c r="E47" s="710">
        <f>E46-$B$59</f>
        <v>-9.0599999999999881</v>
      </c>
      <c r="G47" s="710">
        <f>G46-$B$59</f>
        <v>-10.759999999999991</v>
      </c>
      <c r="I47" s="710">
        <f>I46-$B$59</f>
        <v>-9.86</v>
      </c>
      <c r="K47" s="710">
        <f>K46-$B$59</f>
        <v>-8.9599999999999937</v>
      </c>
      <c r="M47" s="710">
        <f>M46-$B$59</f>
        <v>-14.059999999999988</v>
      </c>
      <c r="N47" s="710"/>
      <c r="O47" s="710">
        <f>O46-$B$59</f>
        <v>-17.659999999999997</v>
      </c>
      <c r="Q47" s="710">
        <f>Q46-$B$59</f>
        <v>-13.459999999999994</v>
      </c>
      <c r="S47" s="710">
        <f>S46-$B$59</f>
        <v>-12.86</v>
      </c>
      <c r="T47" s="710"/>
      <c r="U47" s="710"/>
      <c r="V47" s="710"/>
      <c r="W47" s="710">
        <f>W46-$B$59</f>
        <v>-40.059999999999995</v>
      </c>
      <c r="Z47" s="710">
        <f>Z46-$B$59</f>
        <v>-7.5599999999999881</v>
      </c>
      <c r="AB47" s="710">
        <f>AB46-$B$59</f>
        <v>-8.36</v>
      </c>
      <c r="AD47" s="710">
        <f>AD46-$B$59</f>
        <v>-10.559999999999988</v>
      </c>
      <c r="AF47" s="710">
        <f>AF46-$B$59</f>
        <v>-9.7599999999999909</v>
      </c>
      <c r="AH47" s="710">
        <f>AH46-$B$59</f>
        <v>-12.559999999999988</v>
      </c>
      <c r="AJ47" s="710"/>
      <c r="AP47" s="710">
        <f>AP46-$B$59</f>
        <v>-13.059999999999988</v>
      </c>
      <c r="AR47" s="710">
        <f>AR46-$B$59</f>
        <v>-13.159999999999997</v>
      </c>
      <c r="AU47" s="710">
        <f>AU46-$B$59</f>
        <v>-10.36</v>
      </c>
      <c r="AW47" s="710">
        <f>AW46-$B$59</f>
        <v>-10.159999999999997</v>
      </c>
      <c r="AY47" s="710">
        <f>AY46-$B$59</f>
        <v>-27.659999999999997</v>
      </c>
    </row>
    <row r="48" spans="1:54" x14ac:dyDescent="0.2">
      <c r="A48" s="657"/>
      <c r="B48" s="657" t="s">
        <v>228</v>
      </c>
      <c r="C48" s="711">
        <v>41649</v>
      </c>
      <c r="H48" s="712"/>
    </row>
    <row r="49" spans="1:8" x14ac:dyDescent="0.2">
      <c r="A49" s="657"/>
      <c r="B49" s="657" t="s">
        <v>208</v>
      </c>
      <c r="C49" s="713">
        <v>41831</v>
      </c>
    </row>
    <row r="50" spans="1:8" ht="12.75" thickBot="1" x14ac:dyDescent="0.25">
      <c r="A50" s="657"/>
      <c r="B50" s="657" t="s">
        <v>246</v>
      </c>
      <c r="C50" s="714"/>
    </row>
    <row r="51" spans="1:8" x14ac:dyDescent="0.2">
      <c r="A51" s="715"/>
      <c r="B51" s="716" t="s">
        <v>247</v>
      </c>
      <c r="C51" s="717"/>
    </row>
    <row r="52" spans="1:8" x14ac:dyDescent="0.2">
      <c r="A52" s="718"/>
      <c r="B52" s="719" t="s">
        <v>248</v>
      </c>
      <c r="C52" s="720">
        <v>100.01</v>
      </c>
      <c r="D52" s="720"/>
      <c r="H52" s="704" t="s">
        <v>249</v>
      </c>
    </row>
    <row r="53" spans="1:8" x14ac:dyDescent="0.2">
      <c r="A53" s="718"/>
      <c r="B53" s="721" t="s">
        <v>250</v>
      </c>
      <c r="C53" s="720">
        <v>95</v>
      </c>
      <c r="D53" s="720">
        <v>100</v>
      </c>
      <c r="E53" s="722"/>
    </row>
    <row r="54" spans="1:8" x14ac:dyDescent="0.2">
      <c r="A54" s="718"/>
      <c r="B54" s="723" t="s">
        <v>251</v>
      </c>
      <c r="C54" s="720">
        <v>90</v>
      </c>
      <c r="D54" s="720">
        <v>94.99</v>
      </c>
      <c r="E54" s="722"/>
    </row>
    <row r="55" spans="1:8" x14ac:dyDescent="0.2">
      <c r="A55" s="718"/>
      <c r="B55" s="724" t="s">
        <v>252</v>
      </c>
      <c r="C55" s="720">
        <v>80</v>
      </c>
      <c r="D55" s="720">
        <v>89.99</v>
      </c>
      <c r="E55" s="722"/>
    </row>
    <row r="56" spans="1:8" x14ac:dyDescent="0.2">
      <c r="A56" s="718"/>
      <c r="B56" s="725" t="s">
        <v>253</v>
      </c>
      <c r="C56" s="720">
        <v>50</v>
      </c>
      <c r="D56" s="720">
        <v>79.989999999999995</v>
      </c>
      <c r="E56" s="722"/>
    </row>
    <row r="57" spans="1:8" x14ac:dyDescent="0.2">
      <c r="A57" s="718"/>
      <c r="B57" s="726" t="s">
        <v>254</v>
      </c>
      <c r="C57" s="727">
        <v>0.1</v>
      </c>
      <c r="D57" s="720">
        <v>49.99</v>
      </c>
      <c r="E57" s="722"/>
    </row>
    <row r="58" spans="1:8" ht="12.75" thickBot="1" x14ac:dyDescent="0.25">
      <c r="A58" s="728"/>
      <c r="B58" s="729" t="s">
        <v>244</v>
      </c>
      <c r="C58" s="730"/>
      <c r="D58" s="731"/>
    </row>
    <row r="59" spans="1:8" x14ac:dyDescent="0.2">
      <c r="A59" s="732"/>
      <c r="B59" s="732">
        <f>ROUND(8.33*12,2)</f>
        <v>99.96</v>
      </c>
    </row>
    <row r="63" spans="1:8" ht="12.75" thickBot="1" x14ac:dyDescent="0.25"/>
    <row r="64" spans="1:8" ht="12.75" thickBot="1" x14ac:dyDescent="0.25">
      <c r="E64" s="1908" t="s">
        <v>231</v>
      </c>
      <c r="F64" s="1909"/>
      <c r="G64" s="733">
        <f>E46</f>
        <v>90.9</v>
      </c>
    </row>
    <row r="65" spans="5:7" ht="12.75" thickBot="1" x14ac:dyDescent="0.25">
      <c r="E65" s="1910" t="s">
        <v>232</v>
      </c>
      <c r="F65" s="1911"/>
      <c r="G65" s="733">
        <f>K46</f>
        <v>91</v>
      </c>
    </row>
    <row r="66" spans="5:7" ht="12.75" thickBot="1" x14ac:dyDescent="0.25">
      <c r="E66" s="1912" t="s">
        <v>233</v>
      </c>
      <c r="F66" s="1913"/>
      <c r="G66" s="733">
        <f>M46</f>
        <v>85.9</v>
      </c>
    </row>
    <row r="67" spans="5:7" ht="12.75" thickBot="1" x14ac:dyDescent="0.25">
      <c r="E67" s="1906" t="s">
        <v>234</v>
      </c>
      <c r="F67" s="1907"/>
      <c r="G67" s="733">
        <f>Z46</f>
        <v>92.4</v>
      </c>
    </row>
    <row r="68" spans="5:7" ht="12.75" thickBot="1" x14ac:dyDescent="0.25">
      <c r="E68" s="1914" t="s">
        <v>235</v>
      </c>
      <c r="F68" s="1914"/>
      <c r="G68" s="733">
        <f>AB46</f>
        <v>91.6</v>
      </c>
    </row>
    <row r="69" spans="5:7" ht="12.75" thickBot="1" x14ac:dyDescent="0.25">
      <c r="E69" s="1906" t="s">
        <v>236</v>
      </c>
      <c r="F69" s="1907"/>
      <c r="G69" s="734">
        <f>B59</f>
        <v>99.96</v>
      </c>
    </row>
  </sheetData>
  <mergeCells count="6">
    <mergeCell ref="E69:F69"/>
    <mergeCell ref="E64:F64"/>
    <mergeCell ref="E65:F65"/>
    <mergeCell ref="E66:F66"/>
    <mergeCell ref="E67:F67"/>
    <mergeCell ref="E68:F68"/>
  </mergeCells>
  <conditionalFormatting sqref="U10:U46 W10:W46">
    <cfRule type="cellIs" dxfId="689" priority="13" stopIfTrue="1" operator="between">
      <formula>$C$57</formula>
      <formula>$D$57</formula>
    </cfRule>
    <cfRule type="cellIs" dxfId="688" priority="14" stopIfTrue="1" operator="between">
      <formula>$C$56</formula>
      <formula>$D$56</formula>
    </cfRule>
    <cfRule type="cellIs" dxfId="687" priority="15" stopIfTrue="1" operator="between">
      <formula>$C$55</formula>
      <formula>$D$55</formula>
    </cfRule>
    <cfRule type="cellIs" dxfId="686" priority="16" stopIfTrue="1" operator="between">
      <formula>$C$54</formula>
      <formula>$D$54</formula>
    </cfRule>
    <cfRule type="cellIs" dxfId="685" priority="17" stopIfTrue="1" operator="between">
      <formula>$C$53</formula>
      <formula>$D$53</formula>
    </cfRule>
    <cfRule type="cellIs" dxfId="684" priority="18" stopIfTrue="1" operator="greaterThanOrEqual">
      <formula>$C$52</formula>
    </cfRule>
  </conditionalFormatting>
  <conditionalFormatting sqref="E10:E46 G10:G46 I10:I46 K10:K46 M10:M46 O10:O46 S10:S46 Z10:Z46 AB10:AB46 AD10:AD46 AF10:AF46 AH10:AH46 AN10:AN46 AP10:AP46 AR10:AR46 AU10:AU46 AW10:AW46 AY10:AY46">
    <cfRule type="cellIs" dxfId="683" priority="7" stopIfTrue="1" operator="between">
      <formula>0.1</formula>
      <formula>$D$57</formula>
    </cfRule>
    <cfRule type="cellIs" dxfId="682" priority="8" stopIfTrue="1" operator="between">
      <formula>$C$56</formula>
      <formula>$D$56</formula>
    </cfRule>
    <cfRule type="cellIs" dxfId="681" priority="9" stopIfTrue="1" operator="between">
      <formula>$C$55</formula>
      <formula>$D$55</formula>
    </cfRule>
    <cfRule type="cellIs" dxfId="680" priority="10" stopIfTrue="1" operator="between">
      <formula>$C$54</formula>
      <formula>$D$54</formula>
    </cfRule>
    <cfRule type="cellIs" dxfId="679" priority="11" stopIfTrue="1" operator="between">
      <formula>$C$53</formula>
      <formula>$D$53</formula>
    </cfRule>
    <cfRule type="cellIs" dxfId="678" priority="12" stopIfTrue="1" operator="greaterThanOrEqual">
      <formula>$C$52</formula>
    </cfRule>
  </conditionalFormatting>
  <conditionalFormatting sqref="W10:W46">
    <cfRule type="cellIs" dxfId="677" priority="1" stopIfTrue="1" operator="between">
      <formula>0.1</formula>
      <formula>$D$57</formula>
    </cfRule>
    <cfRule type="cellIs" dxfId="676" priority="2" stopIfTrue="1" operator="between">
      <formula>$C$56</formula>
      <formula>$D$56</formula>
    </cfRule>
    <cfRule type="cellIs" dxfId="675" priority="3" stopIfTrue="1" operator="between">
      <formula>$C$55</formula>
      <formula>$D$55</formula>
    </cfRule>
    <cfRule type="cellIs" dxfId="674" priority="4" stopIfTrue="1" operator="between">
      <formula>$C$54</formula>
      <formula>$D$54</formula>
    </cfRule>
    <cfRule type="cellIs" dxfId="673" priority="5" stopIfTrue="1" operator="between">
      <formula>$C$53</formula>
      <formula>$D$53</formula>
    </cfRule>
    <cfRule type="cellIs" dxfId="672" priority="6" stopIfTrue="1" operator="greaterThanOrEqual">
      <formula>$C$52</formula>
    </cfRule>
  </conditionalFormatting>
  <printOptions horizontalCentered="1"/>
  <pageMargins left="1.299212598425197" right="0.19685039370078741" top="0.67" bottom="0.35433070866141736" header="0.27559055118110237" footer="0.23622047244094491"/>
  <pageSetup paperSize="5" scale="70" orientation="landscape" r:id="rId1"/>
  <headerFooter>
    <oddHeader>&amp;C&amp;"-,Negrita"Ministerio Salud y  Protección Social
República de Colombia</oddHeader>
    <oddFooter>&amp;L&amp;8                                          ** &amp;F **&amp;R&amp;8&amp;D - &amp;T        .</oddFooter>
  </headerFooter>
  <colBreaks count="1" manualBreakCount="1">
    <brk id="23" max="1048575" man="1"/>
  </col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CC"/>
  </sheetPr>
  <dimension ref="A1:BB70"/>
  <sheetViews>
    <sheetView zoomScale="90" zoomScaleNormal="90" workbookViewId="0">
      <pane xSplit="3" ySplit="9" topLeftCell="D10" activePane="bottomRight" state="frozen"/>
      <selection activeCell="H29" sqref="H29"/>
      <selection pane="topRight" activeCell="H29" sqref="H29"/>
      <selection pane="bottomLeft" activeCell="H29" sqref="H29"/>
      <selection pane="bottomRight" activeCell="D10" sqref="D10"/>
    </sheetView>
  </sheetViews>
  <sheetFormatPr baseColWidth="10" defaultRowHeight="12" x14ac:dyDescent="0.2"/>
  <cols>
    <col min="1" max="1" width="6.85546875" style="703" bestFit="1" customWidth="1"/>
    <col min="2" max="2" width="19.7109375" style="703" customWidth="1"/>
    <col min="3" max="3" width="14.140625" style="703" customWidth="1"/>
    <col min="4" max="4" width="11.7109375" style="703" customWidth="1"/>
    <col min="5" max="5" width="8.7109375" style="703" customWidth="1"/>
    <col min="6" max="6" width="11.7109375" style="703" customWidth="1"/>
    <col min="7" max="7" width="8.7109375" style="703" customWidth="1"/>
    <col min="8" max="8" width="11.7109375" style="703" customWidth="1"/>
    <col min="9" max="9" width="8.7109375" style="703" customWidth="1"/>
    <col min="10" max="10" width="11.7109375" style="703" customWidth="1"/>
    <col min="11" max="11" width="8.7109375" style="703" customWidth="1"/>
    <col min="12" max="12" width="11.7109375" style="703" customWidth="1"/>
    <col min="13" max="13" width="8.7109375" style="703" customWidth="1"/>
    <col min="14" max="14" width="11.7109375" style="703" customWidth="1"/>
    <col min="15" max="15" width="8.7109375" style="703" customWidth="1"/>
    <col min="16" max="16" width="11.7109375" style="703" customWidth="1"/>
    <col min="17" max="17" width="8.7109375" style="703" customWidth="1"/>
    <col min="18" max="18" width="11.7109375" style="703" customWidth="1"/>
    <col min="19" max="19" width="8.7109375" style="703" customWidth="1"/>
    <col min="20" max="20" width="11.7109375" style="703" customWidth="1"/>
    <col min="21" max="21" width="8.7109375" style="703" customWidth="1"/>
    <col min="22" max="22" width="11.7109375" style="703" customWidth="1"/>
    <col min="23" max="23" width="8.7109375" style="703" customWidth="1"/>
    <col min="24" max="24" width="12.7109375" style="703" customWidth="1"/>
    <col min="25" max="25" width="11.7109375" style="703" customWidth="1"/>
    <col min="26" max="26" width="8.7109375" style="703" customWidth="1"/>
    <col min="27" max="27" width="11.7109375" style="703" customWidth="1"/>
    <col min="28" max="28" width="8.7109375" style="703" customWidth="1"/>
    <col min="29" max="29" width="11.7109375" style="703" customWidth="1"/>
    <col min="30" max="30" width="9.7109375" style="703" customWidth="1"/>
    <col min="31" max="31" width="11.7109375" style="703" customWidth="1"/>
    <col min="32" max="32" width="9.7109375" style="703" customWidth="1"/>
    <col min="33" max="33" width="11.7109375" style="703" customWidth="1"/>
    <col min="34" max="34" width="9.7109375" style="703" customWidth="1"/>
    <col min="35" max="35" width="11.7109375" style="703" customWidth="1"/>
    <col min="36" max="36" width="9.7109375" style="703" customWidth="1"/>
    <col min="37" max="39" width="11.7109375" style="703" customWidth="1"/>
    <col min="40" max="40" width="8.7109375" style="703" customWidth="1"/>
    <col min="41" max="41" width="11.7109375" style="703" customWidth="1"/>
    <col min="42" max="42" width="8.7109375" style="703" customWidth="1"/>
    <col min="43" max="43" width="11.7109375" style="703" customWidth="1"/>
    <col min="44" max="44" width="8.7109375" style="703" customWidth="1"/>
    <col min="45" max="45" width="13.85546875" style="703" customWidth="1"/>
    <col min="46" max="46" width="11.7109375" style="703" customWidth="1"/>
    <col min="47" max="47" width="8.7109375" style="703" customWidth="1"/>
    <col min="48" max="48" width="11.7109375" style="703" customWidth="1"/>
    <col min="49" max="49" width="8.7109375" style="703" customWidth="1"/>
    <col min="50" max="50" width="11.7109375" style="703" customWidth="1"/>
    <col min="51" max="51" width="8.7109375" style="703" customWidth="1"/>
    <col min="52" max="54" width="11.7109375" style="703" customWidth="1"/>
    <col min="55" max="16384" width="11.42578125" style="703"/>
  </cols>
  <sheetData>
    <row r="1" spans="1:54" s="622" customFormat="1" x14ac:dyDescent="0.2"/>
    <row r="2" spans="1:54" s="622" customFormat="1" x14ac:dyDescent="0.2"/>
    <row r="3" spans="1:54" s="622" customFormat="1" x14ac:dyDescent="0.2"/>
    <row r="5" spans="1:54" x14ac:dyDescent="0.2">
      <c r="A5" s="702" t="s">
        <v>305</v>
      </c>
      <c r="C5" s="704" t="s">
        <v>330</v>
      </c>
    </row>
    <row r="6" spans="1:54" x14ac:dyDescent="0.2">
      <c r="A6" s="702" t="s">
        <v>306</v>
      </c>
      <c r="C6" s="705">
        <v>42014</v>
      </c>
    </row>
    <row r="7" spans="1:54" x14ac:dyDescent="0.2">
      <c r="A7" s="702" t="s">
        <v>307</v>
      </c>
      <c r="C7" s="657" t="s">
        <v>309</v>
      </c>
    </row>
    <row r="8" spans="1:54" ht="12.75" thickBot="1" x14ac:dyDescent="0.25"/>
    <row r="9" spans="1:54" s="706" customFormat="1" ht="62.25" customHeight="1" thickBot="1" x14ac:dyDescent="0.25">
      <c r="A9" s="659" t="s">
        <v>140</v>
      </c>
      <c r="B9" s="658" t="s">
        <v>210</v>
      </c>
      <c r="C9" s="660" t="s">
        <v>291</v>
      </c>
      <c r="D9" s="661" t="s">
        <v>158</v>
      </c>
      <c r="E9" s="662" t="s">
        <v>159</v>
      </c>
      <c r="F9" s="663" t="s">
        <v>160</v>
      </c>
      <c r="G9" s="664" t="s">
        <v>161</v>
      </c>
      <c r="H9" s="665" t="s">
        <v>162</v>
      </c>
      <c r="I9" s="666" t="s">
        <v>163</v>
      </c>
      <c r="J9" s="667" t="s">
        <v>237</v>
      </c>
      <c r="K9" s="668" t="s">
        <v>164</v>
      </c>
      <c r="L9" s="621" t="s">
        <v>165</v>
      </c>
      <c r="M9" s="670" t="s">
        <v>166</v>
      </c>
      <c r="N9" s="671" t="s">
        <v>226</v>
      </c>
      <c r="O9" s="672" t="s">
        <v>285</v>
      </c>
      <c r="P9" s="673" t="s">
        <v>170</v>
      </c>
      <c r="Q9" s="674" t="s">
        <v>171</v>
      </c>
      <c r="R9" s="675" t="s">
        <v>172</v>
      </c>
      <c r="S9" s="676" t="s">
        <v>173</v>
      </c>
      <c r="T9" s="677" t="s">
        <v>174</v>
      </c>
      <c r="U9" s="678" t="s">
        <v>175</v>
      </c>
      <c r="V9" s="679" t="s">
        <v>292</v>
      </c>
      <c r="W9" s="679" t="s">
        <v>293</v>
      </c>
      <c r="X9" s="680" t="s">
        <v>294</v>
      </c>
      <c r="Y9" s="681" t="s">
        <v>177</v>
      </c>
      <c r="Z9" s="682" t="s">
        <v>178</v>
      </c>
      <c r="AA9" s="683" t="s">
        <v>179</v>
      </c>
      <c r="AB9" s="684" t="s">
        <v>180</v>
      </c>
      <c r="AC9" s="685" t="s">
        <v>181</v>
      </c>
      <c r="AD9" s="686" t="s">
        <v>182</v>
      </c>
      <c r="AE9" s="687" t="s">
        <v>183</v>
      </c>
      <c r="AF9" s="688" t="s">
        <v>184</v>
      </c>
      <c r="AG9" s="685" t="s">
        <v>185</v>
      </c>
      <c r="AH9" s="689" t="s">
        <v>186</v>
      </c>
      <c r="AI9" s="689" t="s">
        <v>187</v>
      </c>
      <c r="AJ9" s="689" t="s">
        <v>188</v>
      </c>
      <c r="AK9" s="689" t="s">
        <v>189</v>
      </c>
      <c r="AL9" s="686" t="s">
        <v>190</v>
      </c>
      <c r="AM9" s="690" t="s">
        <v>295</v>
      </c>
      <c r="AN9" s="690" t="s">
        <v>296</v>
      </c>
      <c r="AO9" s="691" t="s">
        <v>191</v>
      </c>
      <c r="AP9" s="662" t="s">
        <v>192</v>
      </c>
      <c r="AQ9" s="692" t="s">
        <v>193</v>
      </c>
      <c r="AR9" s="693" t="s">
        <v>194</v>
      </c>
      <c r="AS9" s="694" t="s">
        <v>297</v>
      </c>
      <c r="AT9" s="691" t="s">
        <v>195</v>
      </c>
      <c r="AU9" s="662" t="s">
        <v>196</v>
      </c>
      <c r="AV9" s="695" t="s">
        <v>197</v>
      </c>
      <c r="AW9" s="696" t="s">
        <v>198</v>
      </c>
      <c r="AX9" s="697" t="s">
        <v>199</v>
      </c>
      <c r="AY9" s="698" t="s">
        <v>200</v>
      </c>
      <c r="AZ9" s="699" t="s">
        <v>298</v>
      </c>
      <c r="BA9" s="700" t="s">
        <v>299</v>
      </c>
      <c r="BB9" s="701" t="s">
        <v>300</v>
      </c>
    </row>
    <row r="10" spans="1:54" ht="17.100000000000001" customHeight="1" x14ac:dyDescent="0.2">
      <c r="A10" s="623">
        <v>91</v>
      </c>
      <c r="B10" s="564" t="s">
        <v>12</v>
      </c>
      <c r="C10" s="924">
        <v>1941</v>
      </c>
      <c r="D10" s="565">
        <v>1464</v>
      </c>
      <c r="E10" s="566">
        <f t="shared" ref="E10:E47" si="0">ROUND(D10/$C10*100,1)</f>
        <v>75.400000000000006</v>
      </c>
      <c r="F10" s="567">
        <v>1665</v>
      </c>
      <c r="G10" s="566">
        <f t="shared" ref="G10:G47" si="1">ROUND(F10/$C10*100,1)</f>
        <v>85.8</v>
      </c>
      <c r="H10" s="568">
        <v>1593</v>
      </c>
      <c r="I10" s="566">
        <f t="shared" ref="I10:I47" si="2">ROUND(H10/$C10*100,1)</f>
        <v>82.1</v>
      </c>
      <c r="J10" s="568">
        <v>1471</v>
      </c>
      <c r="K10" s="566">
        <f t="shared" ref="K10:K47" si="3">ROUND(J10/$C10*100,1)</f>
        <v>75.8</v>
      </c>
      <c r="L10" s="565">
        <v>1709</v>
      </c>
      <c r="M10" s="566">
        <f t="shared" ref="M10:M47" si="4">ROUND(L10/$C10*100,1)</f>
        <v>88</v>
      </c>
      <c r="N10" s="569">
        <v>1548</v>
      </c>
      <c r="O10" s="566">
        <f t="shared" ref="O10:O47" si="5">ROUND(N10/$C10*100,1)</f>
        <v>79.8</v>
      </c>
      <c r="P10" s="565">
        <v>1563</v>
      </c>
      <c r="Q10" s="566">
        <f>ROUND(P10/C10*100,1)</f>
        <v>80.5</v>
      </c>
      <c r="R10" s="568">
        <v>1498</v>
      </c>
      <c r="S10" s="566">
        <f t="shared" ref="S10:S47" si="6">ROUND(R10/$C10*100,1)</f>
        <v>77.2</v>
      </c>
      <c r="T10" s="570">
        <v>1332</v>
      </c>
      <c r="U10" s="571">
        <f>ROUND(T10/($C10/12*9)*100,1)</f>
        <v>91.5</v>
      </c>
      <c r="V10" s="570">
        <v>932</v>
      </c>
      <c r="W10" s="571">
        <f>ROUND(V10/($C10/12*9)*100,1)</f>
        <v>64</v>
      </c>
      <c r="X10" s="934">
        <v>1982</v>
      </c>
      <c r="Y10" s="572">
        <v>1480</v>
      </c>
      <c r="Z10" s="566">
        <f t="shared" ref="Z10:Z47" si="7">ROUND(Y10/$X10*100,1)</f>
        <v>74.7</v>
      </c>
      <c r="AA10" s="565">
        <v>1477</v>
      </c>
      <c r="AB10" s="566">
        <f t="shared" ref="AB10:AB47" si="8">ROUND(AA10/$X10*100,1)</f>
        <v>74.5</v>
      </c>
      <c r="AC10" s="567">
        <v>1665</v>
      </c>
      <c r="AD10" s="566">
        <f t="shared" ref="AD10:AD47" si="9">ROUND(AC10/$C10*100,1)</f>
        <v>85.8</v>
      </c>
      <c r="AE10" s="568">
        <v>1596</v>
      </c>
      <c r="AF10" s="566">
        <f t="shared" ref="AF10:AF47" si="10">ROUND(AE10/$C10*100,1)</f>
        <v>82.2</v>
      </c>
      <c r="AG10" s="568">
        <v>1463</v>
      </c>
      <c r="AH10" s="566">
        <f t="shared" ref="AH10:AH47" si="11">ROUND(AG10/$X10*100,1)</f>
        <v>73.8</v>
      </c>
      <c r="AI10" s="568">
        <v>1</v>
      </c>
      <c r="AJ10" s="573">
        <f>AI10/X10*100</f>
        <v>5.0454086781029264E-2</v>
      </c>
      <c r="AK10" s="568">
        <v>9</v>
      </c>
      <c r="AL10" s="574">
        <v>7</v>
      </c>
      <c r="AM10" s="575">
        <v>1476</v>
      </c>
      <c r="AN10" s="566">
        <f>ROUND(AM10/$X10*100,1)</f>
        <v>74.5</v>
      </c>
      <c r="AO10" s="567">
        <v>1559</v>
      </c>
      <c r="AP10" s="566">
        <f t="shared" ref="AP10:AP47" si="12">ROUND(AO10/$X10*100,1)</f>
        <v>78.7</v>
      </c>
      <c r="AQ10" s="567">
        <v>1554</v>
      </c>
      <c r="AR10" s="566">
        <f t="shared" ref="AR10:AR47" si="13">ROUND(AQ10/$X10*100,1)</f>
        <v>78.400000000000006</v>
      </c>
      <c r="AS10" s="626">
        <v>1859</v>
      </c>
      <c r="AT10" s="576">
        <v>1235</v>
      </c>
      <c r="AU10" s="566">
        <f t="shared" ref="AU10:AU47" si="14">ROUND(AT10/$AS10*100,1)</f>
        <v>66.400000000000006</v>
      </c>
      <c r="AV10" s="577">
        <v>1228</v>
      </c>
      <c r="AW10" s="566">
        <f t="shared" ref="AW10:AW47" si="15">ROUND(AV10/$AS10*100,1)</f>
        <v>66.099999999999994</v>
      </c>
      <c r="AX10" s="578">
        <v>1072</v>
      </c>
      <c r="AY10" s="571">
        <f t="shared" ref="AY10:AY47" si="16">ROUND(AX10/$AS10*100,1)</f>
        <v>57.7</v>
      </c>
      <c r="AZ10" s="578">
        <v>155</v>
      </c>
      <c r="BA10" s="568">
        <v>518</v>
      </c>
      <c r="BB10" s="574">
        <v>8</v>
      </c>
    </row>
    <row r="11" spans="1:54" ht="17.100000000000001" customHeight="1" x14ac:dyDescent="0.2">
      <c r="A11" s="627" t="s">
        <v>141</v>
      </c>
      <c r="B11" s="579" t="s">
        <v>11</v>
      </c>
      <c r="C11" s="925">
        <v>81865</v>
      </c>
      <c r="D11" s="580">
        <v>72815</v>
      </c>
      <c r="E11" s="581">
        <f t="shared" si="0"/>
        <v>88.9</v>
      </c>
      <c r="F11" s="582">
        <v>76764</v>
      </c>
      <c r="G11" s="581">
        <f t="shared" si="1"/>
        <v>93.8</v>
      </c>
      <c r="H11" s="583">
        <v>75019</v>
      </c>
      <c r="I11" s="581">
        <f t="shared" si="2"/>
        <v>91.6</v>
      </c>
      <c r="J11" s="583">
        <v>73363</v>
      </c>
      <c r="K11" s="581">
        <f t="shared" si="3"/>
        <v>89.6</v>
      </c>
      <c r="L11" s="580">
        <v>75243</v>
      </c>
      <c r="M11" s="581">
        <f t="shared" si="4"/>
        <v>91.9</v>
      </c>
      <c r="N11" s="584">
        <v>72360</v>
      </c>
      <c r="O11" s="581">
        <f t="shared" si="5"/>
        <v>88.4</v>
      </c>
      <c r="P11" s="580">
        <v>74135</v>
      </c>
      <c r="Q11" s="581">
        <f>ROUND(P11/C11*100,1)</f>
        <v>90.6</v>
      </c>
      <c r="R11" s="583">
        <v>73408</v>
      </c>
      <c r="S11" s="581">
        <f t="shared" si="6"/>
        <v>89.7</v>
      </c>
      <c r="T11" s="585">
        <v>58856</v>
      </c>
      <c r="U11" s="581">
        <f>ROUND(T11/($C11/12*9)*100,1)</f>
        <v>95.9</v>
      </c>
      <c r="V11" s="585">
        <v>43991</v>
      </c>
      <c r="W11" s="592">
        <f>ROUND(V11/($C11/12*9)*100,1)</f>
        <v>71.599999999999994</v>
      </c>
      <c r="X11" s="935">
        <v>83661</v>
      </c>
      <c r="Y11" s="586">
        <v>74355</v>
      </c>
      <c r="Z11" s="581">
        <f>ROUND(Y11/$X11*100,1)</f>
        <v>88.9</v>
      </c>
      <c r="AA11" s="580">
        <v>74183</v>
      </c>
      <c r="AB11" s="581">
        <f t="shared" si="8"/>
        <v>88.7</v>
      </c>
      <c r="AC11" s="582">
        <v>75882</v>
      </c>
      <c r="AD11" s="581">
        <f t="shared" si="9"/>
        <v>92.7</v>
      </c>
      <c r="AE11" s="583">
        <v>74409</v>
      </c>
      <c r="AF11" s="581">
        <f t="shared" si="10"/>
        <v>90.9</v>
      </c>
      <c r="AG11" s="583">
        <v>72435</v>
      </c>
      <c r="AH11" s="581">
        <f t="shared" si="11"/>
        <v>86.6</v>
      </c>
      <c r="AI11" s="583">
        <v>900</v>
      </c>
      <c r="AJ11" s="587">
        <f>AI11/X11*100</f>
        <v>1.0757700720765948</v>
      </c>
      <c r="AK11" s="583">
        <v>772</v>
      </c>
      <c r="AL11" s="588">
        <v>1257</v>
      </c>
      <c r="AM11" s="589">
        <v>74403</v>
      </c>
      <c r="AN11" s="581">
        <f t="shared" ref="AN11:AN47" si="17">ROUND(AM11/$X11*100,1)</f>
        <v>88.9</v>
      </c>
      <c r="AO11" s="582">
        <v>72760</v>
      </c>
      <c r="AP11" s="581">
        <f t="shared" si="12"/>
        <v>87</v>
      </c>
      <c r="AQ11" s="582">
        <v>72595</v>
      </c>
      <c r="AR11" s="581">
        <f t="shared" si="13"/>
        <v>86.8</v>
      </c>
      <c r="AS11" s="630">
        <v>87623</v>
      </c>
      <c r="AT11" s="590">
        <v>78429</v>
      </c>
      <c r="AU11" s="581">
        <f t="shared" si="14"/>
        <v>89.5</v>
      </c>
      <c r="AV11" s="591">
        <v>79740</v>
      </c>
      <c r="AW11" s="581">
        <f t="shared" si="15"/>
        <v>91</v>
      </c>
      <c r="AX11" s="589">
        <v>78675</v>
      </c>
      <c r="AY11" s="592">
        <f t="shared" si="16"/>
        <v>89.8</v>
      </c>
      <c r="AZ11" s="589">
        <v>47326</v>
      </c>
      <c r="BA11" s="583">
        <v>198566</v>
      </c>
      <c r="BB11" s="588">
        <v>42897</v>
      </c>
    </row>
    <row r="12" spans="1:54" ht="17.100000000000001" customHeight="1" x14ac:dyDescent="0.2">
      <c r="A12" s="631" t="s">
        <v>255</v>
      </c>
      <c r="B12" s="593" t="s">
        <v>13</v>
      </c>
      <c r="C12" s="925">
        <v>4838</v>
      </c>
      <c r="D12" s="580">
        <v>4204</v>
      </c>
      <c r="E12" s="581">
        <f t="shared" si="0"/>
        <v>86.9</v>
      </c>
      <c r="F12" s="582">
        <v>4166</v>
      </c>
      <c r="G12" s="581">
        <f t="shared" si="1"/>
        <v>86.1</v>
      </c>
      <c r="H12" s="583">
        <v>4193</v>
      </c>
      <c r="I12" s="581">
        <f t="shared" si="2"/>
        <v>86.7</v>
      </c>
      <c r="J12" s="583">
        <v>4207</v>
      </c>
      <c r="K12" s="581">
        <f t="shared" si="3"/>
        <v>87</v>
      </c>
      <c r="L12" s="580">
        <v>4093</v>
      </c>
      <c r="M12" s="581">
        <f t="shared" si="4"/>
        <v>84.6</v>
      </c>
      <c r="N12" s="584">
        <v>3951</v>
      </c>
      <c r="O12" s="581">
        <f t="shared" si="5"/>
        <v>81.7</v>
      </c>
      <c r="P12" s="580">
        <v>4019</v>
      </c>
      <c r="Q12" s="581">
        <f t="shared" ref="Q12:Q47" si="18">ROUND(P12/C12*100,1)</f>
        <v>83.1</v>
      </c>
      <c r="R12" s="583">
        <v>4081</v>
      </c>
      <c r="S12" s="581">
        <f t="shared" si="6"/>
        <v>84.4</v>
      </c>
      <c r="T12" s="585">
        <v>2642</v>
      </c>
      <c r="U12" s="581">
        <f t="shared" ref="U12:U46" si="19">ROUND(T12/($C12/12*9)*100,1)</f>
        <v>72.8</v>
      </c>
      <c r="V12" s="585">
        <v>1698</v>
      </c>
      <c r="W12" s="592">
        <f>ROUND(V12/($C12/12*9)*100,1)</f>
        <v>46.8</v>
      </c>
      <c r="X12" s="935">
        <v>4879</v>
      </c>
      <c r="Y12" s="586">
        <v>4316</v>
      </c>
      <c r="Z12" s="581">
        <f t="shared" si="7"/>
        <v>88.5</v>
      </c>
      <c r="AA12" s="580">
        <v>4326</v>
      </c>
      <c r="AB12" s="581">
        <f t="shared" si="8"/>
        <v>88.7</v>
      </c>
      <c r="AC12" s="582">
        <v>4222</v>
      </c>
      <c r="AD12" s="581">
        <f t="shared" si="9"/>
        <v>87.3</v>
      </c>
      <c r="AE12" s="583">
        <v>4212</v>
      </c>
      <c r="AF12" s="581">
        <f t="shared" si="10"/>
        <v>87.1</v>
      </c>
      <c r="AG12" s="583">
        <v>4252</v>
      </c>
      <c r="AH12" s="581">
        <f t="shared" si="11"/>
        <v>87.1</v>
      </c>
      <c r="AI12" s="583">
        <v>100</v>
      </c>
      <c r="AJ12" s="587">
        <f t="shared" ref="AJ12:AJ47" si="20">AI12/X12*100</f>
        <v>2.0496003279360524</v>
      </c>
      <c r="AK12" s="583">
        <v>102</v>
      </c>
      <c r="AL12" s="588">
        <v>682</v>
      </c>
      <c r="AM12" s="589">
        <v>4336</v>
      </c>
      <c r="AN12" s="581">
        <f t="shared" si="17"/>
        <v>88.9</v>
      </c>
      <c r="AO12" s="582">
        <v>4492</v>
      </c>
      <c r="AP12" s="581">
        <f t="shared" si="12"/>
        <v>92.1</v>
      </c>
      <c r="AQ12" s="582">
        <v>4492</v>
      </c>
      <c r="AR12" s="581">
        <f t="shared" si="13"/>
        <v>92.1</v>
      </c>
      <c r="AS12" s="630">
        <v>5067</v>
      </c>
      <c r="AT12" s="590">
        <v>4347</v>
      </c>
      <c r="AU12" s="581">
        <f t="shared" si="14"/>
        <v>85.8</v>
      </c>
      <c r="AV12" s="591">
        <v>4349</v>
      </c>
      <c r="AW12" s="581">
        <f t="shared" si="15"/>
        <v>85.8</v>
      </c>
      <c r="AX12" s="589">
        <v>4348</v>
      </c>
      <c r="AY12" s="592">
        <f t="shared" si="16"/>
        <v>85.8</v>
      </c>
      <c r="AZ12" s="589">
        <v>472</v>
      </c>
      <c r="BA12" s="583">
        <v>1575</v>
      </c>
      <c r="BB12" s="588">
        <v>1463</v>
      </c>
    </row>
    <row r="13" spans="1:54" ht="17.100000000000001" customHeight="1" x14ac:dyDescent="0.2">
      <c r="A13" s="631" t="s">
        <v>142</v>
      </c>
      <c r="B13" s="593" t="s">
        <v>14</v>
      </c>
      <c r="C13" s="925">
        <v>21514</v>
      </c>
      <c r="D13" s="580">
        <v>20044</v>
      </c>
      <c r="E13" s="581">
        <f t="shared" si="0"/>
        <v>93.2</v>
      </c>
      <c r="F13" s="582">
        <v>20216</v>
      </c>
      <c r="G13" s="581">
        <f t="shared" si="1"/>
        <v>94</v>
      </c>
      <c r="H13" s="583">
        <v>19995</v>
      </c>
      <c r="I13" s="581">
        <f t="shared" si="2"/>
        <v>92.9</v>
      </c>
      <c r="J13" s="583">
        <v>19996</v>
      </c>
      <c r="K13" s="581">
        <f t="shared" si="3"/>
        <v>92.9</v>
      </c>
      <c r="L13" s="580">
        <v>19902</v>
      </c>
      <c r="M13" s="581">
        <f t="shared" si="4"/>
        <v>92.5</v>
      </c>
      <c r="N13" s="584">
        <v>18795</v>
      </c>
      <c r="O13" s="581">
        <f t="shared" si="5"/>
        <v>87.4</v>
      </c>
      <c r="P13" s="580">
        <v>20237</v>
      </c>
      <c r="Q13" s="581">
        <f t="shared" si="18"/>
        <v>94.1</v>
      </c>
      <c r="R13" s="583">
        <v>19940</v>
      </c>
      <c r="S13" s="581">
        <f t="shared" si="6"/>
        <v>92.7</v>
      </c>
      <c r="T13" s="585">
        <v>13918</v>
      </c>
      <c r="U13" s="581">
        <f t="shared" si="19"/>
        <v>86.3</v>
      </c>
      <c r="V13" s="585">
        <v>9439</v>
      </c>
      <c r="W13" s="592">
        <f t="shared" ref="W13:W47" si="21">ROUND(V13/($C13/12*9)*100,1)</f>
        <v>58.5</v>
      </c>
      <c r="X13" s="935">
        <v>21438</v>
      </c>
      <c r="Y13" s="586">
        <v>20413</v>
      </c>
      <c r="Z13" s="581">
        <f t="shared" si="7"/>
        <v>95.2</v>
      </c>
      <c r="AA13" s="580">
        <v>20502</v>
      </c>
      <c r="AB13" s="581">
        <f t="shared" si="8"/>
        <v>95.6</v>
      </c>
      <c r="AC13" s="582">
        <v>19780</v>
      </c>
      <c r="AD13" s="581">
        <f t="shared" si="9"/>
        <v>91.9</v>
      </c>
      <c r="AE13" s="583">
        <v>19865</v>
      </c>
      <c r="AF13" s="581">
        <f t="shared" si="10"/>
        <v>92.3</v>
      </c>
      <c r="AG13" s="583">
        <v>20059</v>
      </c>
      <c r="AH13" s="581">
        <f t="shared" si="11"/>
        <v>93.6</v>
      </c>
      <c r="AI13" s="583">
        <v>177</v>
      </c>
      <c r="AJ13" s="587">
        <f t="shared" si="20"/>
        <v>0.82563671984326892</v>
      </c>
      <c r="AK13" s="583">
        <v>64</v>
      </c>
      <c r="AL13" s="588">
        <v>276</v>
      </c>
      <c r="AM13" s="589">
        <v>20425</v>
      </c>
      <c r="AN13" s="581">
        <f t="shared" si="17"/>
        <v>95.3</v>
      </c>
      <c r="AO13" s="582">
        <v>20093</v>
      </c>
      <c r="AP13" s="581">
        <f t="shared" si="12"/>
        <v>93.7</v>
      </c>
      <c r="AQ13" s="582">
        <v>20065</v>
      </c>
      <c r="AR13" s="581">
        <f t="shared" si="13"/>
        <v>93.6</v>
      </c>
      <c r="AS13" s="630">
        <v>21326</v>
      </c>
      <c r="AT13" s="590">
        <v>19774</v>
      </c>
      <c r="AU13" s="581">
        <f t="shared" si="14"/>
        <v>92.7</v>
      </c>
      <c r="AV13" s="591">
        <v>19800</v>
      </c>
      <c r="AW13" s="581">
        <f t="shared" si="15"/>
        <v>92.8</v>
      </c>
      <c r="AX13" s="589">
        <v>19792</v>
      </c>
      <c r="AY13" s="592">
        <f t="shared" si="16"/>
        <v>92.8</v>
      </c>
      <c r="AZ13" s="589">
        <v>5790</v>
      </c>
      <c r="BA13" s="583">
        <v>9319</v>
      </c>
      <c r="BB13" s="588">
        <v>5659</v>
      </c>
    </row>
    <row r="14" spans="1:54" ht="17.100000000000001" customHeight="1" x14ac:dyDescent="0.2">
      <c r="A14" s="632" t="s">
        <v>245</v>
      </c>
      <c r="B14" s="594" t="s">
        <v>115</v>
      </c>
      <c r="C14" s="925">
        <v>21306</v>
      </c>
      <c r="D14" s="580">
        <v>20794</v>
      </c>
      <c r="E14" s="581">
        <f t="shared" si="0"/>
        <v>97.6</v>
      </c>
      <c r="F14" s="582">
        <v>21015</v>
      </c>
      <c r="G14" s="581">
        <f t="shared" si="1"/>
        <v>98.6</v>
      </c>
      <c r="H14" s="580">
        <v>20944</v>
      </c>
      <c r="I14" s="581">
        <f t="shared" si="2"/>
        <v>98.3</v>
      </c>
      <c r="J14" s="580">
        <v>20722</v>
      </c>
      <c r="K14" s="581">
        <f t="shared" si="3"/>
        <v>97.3</v>
      </c>
      <c r="L14" s="580">
        <v>22629</v>
      </c>
      <c r="M14" s="581">
        <f t="shared" si="4"/>
        <v>106.2</v>
      </c>
      <c r="N14" s="584">
        <v>21720</v>
      </c>
      <c r="O14" s="581">
        <f t="shared" si="5"/>
        <v>101.9</v>
      </c>
      <c r="P14" s="580">
        <v>20513</v>
      </c>
      <c r="Q14" s="581">
        <f t="shared" si="18"/>
        <v>96.3</v>
      </c>
      <c r="R14" s="580">
        <v>20499</v>
      </c>
      <c r="S14" s="581">
        <f t="shared" si="6"/>
        <v>96.2</v>
      </c>
      <c r="T14" s="585">
        <v>16745</v>
      </c>
      <c r="U14" s="581">
        <f t="shared" si="19"/>
        <v>104.8</v>
      </c>
      <c r="V14" s="585">
        <v>11268</v>
      </c>
      <c r="W14" s="592">
        <f t="shared" si="21"/>
        <v>70.5</v>
      </c>
      <c r="X14" s="936">
        <v>21444</v>
      </c>
      <c r="Y14" s="586">
        <v>20957</v>
      </c>
      <c r="Z14" s="581">
        <f t="shared" si="7"/>
        <v>97.7</v>
      </c>
      <c r="AA14" s="580">
        <v>20997</v>
      </c>
      <c r="AB14" s="581">
        <f t="shared" si="8"/>
        <v>97.9</v>
      </c>
      <c r="AC14" s="582">
        <v>20800</v>
      </c>
      <c r="AD14" s="581">
        <f t="shared" si="9"/>
        <v>97.6</v>
      </c>
      <c r="AE14" s="583">
        <v>20764</v>
      </c>
      <c r="AF14" s="581">
        <f t="shared" si="10"/>
        <v>97.5</v>
      </c>
      <c r="AG14" s="583">
        <v>20198</v>
      </c>
      <c r="AH14" s="581">
        <f t="shared" si="11"/>
        <v>94.2</v>
      </c>
      <c r="AI14" s="583">
        <v>330</v>
      </c>
      <c r="AJ14" s="587">
        <f t="shared" si="20"/>
        <v>1.5388919977616116</v>
      </c>
      <c r="AK14" s="583">
        <v>124</v>
      </c>
      <c r="AL14" s="588">
        <v>171</v>
      </c>
      <c r="AM14" s="589">
        <v>20981</v>
      </c>
      <c r="AN14" s="581">
        <f t="shared" si="17"/>
        <v>97.8</v>
      </c>
      <c r="AO14" s="582">
        <v>18937</v>
      </c>
      <c r="AP14" s="581">
        <f t="shared" si="12"/>
        <v>88.3</v>
      </c>
      <c r="AQ14" s="582">
        <v>18787</v>
      </c>
      <c r="AR14" s="581">
        <f t="shared" si="13"/>
        <v>87.6</v>
      </c>
      <c r="AS14" s="635">
        <v>21943</v>
      </c>
      <c r="AT14" s="590">
        <v>18719</v>
      </c>
      <c r="AU14" s="581">
        <f t="shared" si="14"/>
        <v>85.3</v>
      </c>
      <c r="AV14" s="591">
        <v>18806</v>
      </c>
      <c r="AW14" s="581">
        <f t="shared" si="15"/>
        <v>85.7</v>
      </c>
      <c r="AX14" s="589">
        <v>18619</v>
      </c>
      <c r="AY14" s="592">
        <f t="shared" si="16"/>
        <v>84.9</v>
      </c>
      <c r="AZ14" s="589">
        <v>13808</v>
      </c>
      <c r="BA14" s="583">
        <v>21947</v>
      </c>
      <c r="BB14" s="588">
        <v>11279</v>
      </c>
    </row>
    <row r="15" spans="1:54" ht="17.100000000000001" customHeight="1" x14ac:dyDescent="0.2">
      <c r="A15" s="631" t="s">
        <v>303</v>
      </c>
      <c r="B15" s="593" t="s">
        <v>116</v>
      </c>
      <c r="C15" s="925">
        <v>111497</v>
      </c>
      <c r="D15" s="580">
        <v>99472</v>
      </c>
      <c r="E15" s="581">
        <f t="shared" si="0"/>
        <v>89.2</v>
      </c>
      <c r="F15" s="582">
        <v>102841</v>
      </c>
      <c r="G15" s="581">
        <f t="shared" si="1"/>
        <v>92.2</v>
      </c>
      <c r="H15" s="583">
        <v>98896</v>
      </c>
      <c r="I15" s="581">
        <f t="shared" si="2"/>
        <v>88.7</v>
      </c>
      <c r="J15" s="583">
        <v>100187</v>
      </c>
      <c r="K15" s="581">
        <f t="shared" si="3"/>
        <v>89.9</v>
      </c>
      <c r="L15" s="580">
        <v>114942</v>
      </c>
      <c r="M15" s="581">
        <f t="shared" si="4"/>
        <v>103.1</v>
      </c>
      <c r="N15" s="584">
        <v>113286</v>
      </c>
      <c r="O15" s="581">
        <f t="shared" si="5"/>
        <v>101.6</v>
      </c>
      <c r="P15" s="580">
        <v>100590</v>
      </c>
      <c r="Q15" s="581">
        <f t="shared" si="18"/>
        <v>90.2</v>
      </c>
      <c r="R15" s="583">
        <v>96667</v>
      </c>
      <c r="S15" s="581">
        <f t="shared" si="6"/>
        <v>86.7</v>
      </c>
      <c r="T15" s="585">
        <v>65166</v>
      </c>
      <c r="U15" s="581">
        <f t="shared" si="19"/>
        <v>77.900000000000006</v>
      </c>
      <c r="V15" s="585">
        <v>48949</v>
      </c>
      <c r="W15" s="592">
        <f t="shared" si="21"/>
        <v>58.5</v>
      </c>
      <c r="X15" s="935">
        <v>112398</v>
      </c>
      <c r="Y15" s="586">
        <v>100615</v>
      </c>
      <c r="Z15" s="581">
        <f t="shared" si="7"/>
        <v>89.5</v>
      </c>
      <c r="AA15" s="580">
        <v>102143</v>
      </c>
      <c r="AB15" s="581">
        <f t="shared" si="8"/>
        <v>90.9</v>
      </c>
      <c r="AC15" s="582">
        <v>101470</v>
      </c>
      <c r="AD15" s="581">
        <f t="shared" si="9"/>
        <v>91</v>
      </c>
      <c r="AE15" s="583">
        <v>99851</v>
      </c>
      <c r="AF15" s="581">
        <f t="shared" si="10"/>
        <v>89.6</v>
      </c>
      <c r="AG15" s="583">
        <v>101651</v>
      </c>
      <c r="AH15" s="581">
        <f t="shared" si="11"/>
        <v>90.4</v>
      </c>
      <c r="AI15" s="583">
        <v>147</v>
      </c>
      <c r="AJ15" s="587">
        <f t="shared" si="20"/>
        <v>0.13078524528906207</v>
      </c>
      <c r="AK15" s="583">
        <v>175</v>
      </c>
      <c r="AL15" s="588">
        <v>515</v>
      </c>
      <c r="AM15" s="589">
        <v>120588</v>
      </c>
      <c r="AN15" s="581">
        <f t="shared" si="17"/>
        <v>107.3</v>
      </c>
      <c r="AO15" s="582">
        <v>96290</v>
      </c>
      <c r="AP15" s="581">
        <f t="shared" si="12"/>
        <v>85.7</v>
      </c>
      <c r="AQ15" s="582">
        <v>94330</v>
      </c>
      <c r="AR15" s="581">
        <f t="shared" si="13"/>
        <v>83.9</v>
      </c>
      <c r="AS15" s="630">
        <v>109288</v>
      </c>
      <c r="AT15" s="590">
        <v>100885</v>
      </c>
      <c r="AU15" s="581">
        <f t="shared" si="14"/>
        <v>92.3</v>
      </c>
      <c r="AV15" s="591">
        <v>102288</v>
      </c>
      <c r="AW15" s="581">
        <f t="shared" si="15"/>
        <v>93.6</v>
      </c>
      <c r="AX15" s="589">
        <v>103235</v>
      </c>
      <c r="AY15" s="592">
        <f t="shared" si="16"/>
        <v>94.5</v>
      </c>
      <c r="AZ15" s="589">
        <v>59901</v>
      </c>
      <c r="BA15" s="583">
        <v>352877</v>
      </c>
      <c r="BB15" s="588">
        <v>60481</v>
      </c>
    </row>
    <row r="16" spans="1:54" ht="17.100000000000001" customHeight="1" x14ac:dyDescent="0.2">
      <c r="A16" s="631" t="s">
        <v>256</v>
      </c>
      <c r="B16" s="593" t="s">
        <v>62</v>
      </c>
      <c r="C16" s="925">
        <v>23055</v>
      </c>
      <c r="D16" s="580">
        <v>19529</v>
      </c>
      <c r="E16" s="581">
        <f t="shared" si="0"/>
        <v>84.7</v>
      </c>
      <c r="F16" s="582">
        <v>18991</v>
      </c>
      <c r="G16" s="581">
        <f t="shared" si="1"/>
        <v>82.4</v>
      </c>
      <c r="H16" s="583">
        <v>19014</v>
      </c>
      <c r="I16" s="581">
        <f t="shared" si="2"/>
        <v>82.5</v>
      </c>
      <c r="J16" s="583">
        <v>19556</v>
      </c>
      <c r="K16" s="581">
        <f t="shared" si="3"/>
        <v>84.8</v>
      </c>
      <c r="L16" s="580">
        <v>16055</v>
      </c>
      <c r="M16" s="581">
        <f t="shared" si="4"/>
        <v>69.599999999999994</v>
      </c>
      <c r="N16" s="584">
        <v>14813</v>
      </c>
      <c r="O16" s="581">
        <f t="shared" si="5"/>
        <v>64.3</v>
      </c>
      <c r="P16" s="580">
        <v>18285</v>
      </c>
      <c r="Q16" s="581">
        <f t="shared" si="18"/>
        <v>79.3</v>
      </c>
      <c r="R16" s="583">
        <v>18781</v>
      </c>
      <c r="S16" s="581">
        <f t="shared" si="6"/>
        <v>81.5</v>
      </c>
      <c r="T16" s="585">
        <v>16704</v>
      </c>
      <c r="U16" s="581">
        <f t="shared" si="19"/>
        <v>96.6</v>
      </c>
      <c r="V16" s="585">
        <v>10350</v>
      </c>
      <c r="W16" s="592">
        <f t="shared" si="21"/>
        <v>59.9</v>
      </c>
      <c r="X16" s="935">
        <v>23197</v>
      </c>
      <c r="Y16" s="586">
        <v>19867</v>
      </c>
      <c r="Z16" s="581">
        <f t="shared" si="7"/>
        <v>85.6</v>
      </c>
      <c r="AA16" s="580">
        <v>20242</v>
      </c>
      <c r="AB16" s="581">
        <f t="shared" si="8"/>
        <v>87.3</v>
      </c>
      <c r="AC16" s="582">
        <v>18963</v>
      </c>
      <c r="AD16" s="581">
        <f t="shared" si="9"/>
        <v>82.3</v>
      </c>
      <c r="AE16" s="583">
        <v>19040</v>
      </c>
      <c r="AF16" s="581">
        <f t="shared" si="10"/>
        <v>82.6</v>
      </c>
      <c r="AG16" s="583">
        <v>19856</v>
      </c>
      <c r="AH16" s="581">
        <f t="shared" si="11"/>
        <v>85.6</v>
      </c>
      <c r="AI16" s="583">
        <v>233</v>
      </c>
      <c r="AJ16" s="587">
        <f t="shared" si="20"/>
        <v>1.0044402293400008</v>
      </c>
      <c r="AK16" s="583">
        <v>276</v>
      </c>
      <c r="AL16" s="588">
        <v>1878</v>
      </c>
      <c r="AM16" s="589">
        <v>19704</v>
      </c>
      <c r="AN16" s="581">
        <f t="shared" si="17"/>
        <v>84.9</v>
      </c>
      <c r="AO16" s="582">
        <v>20857</v>
      </c>
      <c r="AP16" s="581">
        <f t="shared" si="12"/>
        <v>89.9</v>
      </c>
      <c r="AQ16" s="582">
        <v>20881</v>
      </c>
      <c r="AR16" s="581">
        <f t="shared" si="13"/>
        <v>90</v>
      </c>
      <c r="AS16" s="630">
        <v>21683</v>
      </c>
      <c r="AT16" s="590">
        <v>18963</v>
      </c>
      <c r="AU16" s="581">
        <f t="shared" si="14"/>
        <v>87.5</v>
      </c>
      <c r="AV16" s="591">
        <v>19027</v>
      </c>
      <c r="AW16" s="581">
        <f t="shared" si="15"/>
        <v>87.8</v>
      </c>
      <c r="AX16" s="589">
        <v>18842</v>
      </c>
      <c r="AY16" s="592">
        <f t="shared" si="16"/>
        <v>86.9</v>
      </c>
      <c r="AZ16" s="589">
        <v>7355</v>
      </c>
      <c r="BA16" s="583">
        <v>22111</v>
      </c>
      <c r="BB16" s="588">
        <v>11664</v>
      </c>
    </row>
    <row r="17" spans="1:54" ht="17.100000000000001" customHeight="1" x14ac:dyDescent="0.2">
      <c r="A17" s="632" t="s">
        <v>257</v>
      </c>
      <c r="B17" s="594" t="s">
        <v>45</v>
      </c>
      <c r="C17" s="925">
        <v>19165</v>
      </c>
      <c r="D17" s="580">
        <v>17676</v>
      </c>
      <c r="E17" s="581">
        <f t="shared" si="0"/>
        <v>92.2</v>
      </c>
      <c r="F17" s="582">
        <v>19073</v>
      </c>
      <c r="G17" s="581">
        <f t="shared" si="1"/>
        <v>99.5</v>
      </c>
      <c r="H17" s="583">
        <v>18451</v>
      </c>
      <c r="I17" s="581">
        <f t="shared" si="2"/>
        <v>96.3</v>
      </c>
      <c r="J17" s="583">
        <v>17604</v>
      </c>
      <c r="K17" s="581">
        <f t="shared" si="3"/>
        <v>91.9</v>
      </c>
      <c r="L17" s="580">
        <v>20304</v>
      </c>
      <c r="M17" s="581">
        <f t="shared" si="4"/>
        <v>105.9</v>
      </c>
      <c r="N17" s="584">
        <v>19947</v>
      </c>
      <c r="O17" s="581">
        <f t="shared" si="5"/>
        <v>104.1</v>
      </c>
      <c r="P17" s="580">
        <v>18628</v>
      </c>
      <c r="Q17" s="581">
        <f t="shared" si="18"/>
        <v>97.2</v>
      </c>
      <c r="R17" s="583">
        <v>18188</v>
      </c>
      <c r="S17" s="581">
        <f t="shared" si="6"/>
        <v>94.9</v>
      </c>
      <c r="T17" s="585">
        <v>15342</v>
      </c>
      <c r="U17" s="581">
        <f t="shared" si="19"/>
        <v>106.7</v>
      </c>
      <c r="V17" s="585">
        <v>10693</v>
      </c>
      <c r="W17" s="592">
        <f t="shared" si="21"/>
        <v>74.400000000000006</v>
      </c>
      <c r="X17" s="936">
        <v>19337</v>
      </c>
      <c r="Y17" s="586">
        <v>17514</v>
      </c>
      <c r="Z17" s="581">
        <f t="shared" si="7"/>
        <v>90.6</v>
      </c>
      <c r="AA17" s="580">
        <v>17549</v>
      </c>
      <c r="AB17" s="581">
        <f t="shared" si="8"/>
        <v>90.8</v>
      </c>
      <c r="AC17" s="582">
        <v>19252</v>
      </c>
      <c r="AD17" s="581">
        <f t="shared" si="9"/>
        <v>100.5</v>
      </c>
      <c r="AE17" s="583">
        <v>18712</v>
      </c>
      <c r="AF17" s="581">
        <f t="shared" si="10"/>
        <v>97.6</v>
      </c>
      <c r="AG17" s="583">
        <v>17413</v>
      </c>
      <c r="AH17" s="581">
        <f t="shared" si="11"/>
        <v>90.1</v>
      </c>
      <c r="AI17" s="583">
        <v>62</v>
      </c>
      <c r="AJ17" s="587">
        <f t="shared" si="20"/>
        <v>0.3206288462532968</v>
      </c>
      <c r="AK17" s="583">
        <v>120</v>
      </c>
      <c r="AL17" s="588">
        <v>144</v>
      </c>
      <c r="AM17" s="589">
        <v>17611</v>
      </c>
      <c r="AN17" s="581">
        <f t="shared" si="17"/>
        <v>91.1</v>
      </c>
      <c r="AO17" s="582">
        <v>17271</v>
      </c>
      <c r="AP17" s="581">
        <f t="shared" si="12"/>
        <v>89.3</v>
      </c>
      <c r="AQ17" s="582">
        <v>17255</v>
      </c>
      <c r="AR17" s="581">
        <f t="shared" si="13"/>
        <v>89.2</v>
      </c>
      <c r="AS17" s="635">
        <v>18936</v>
      </c>
      <c r="AT17" s="590">
        <v>15536</v>
      </c>
      <c r="AU17" s="581">
        <f>ROUND(AT17/$AS17*100,1)</f>
        <v>82</v>
      </c>
      <c r="AV17" s="591">
        <v>15541</v>
      </c>
      <c r="AW17" s="581">
        <f>ROUND(AV17/$AS17*100,1)</f>
        <v>82.1</v>
      </c>
      <c r="AX17" s="589">
        <v>15472</v>
      </c>
      <c r="AY17" s="592">
        <f>ROUND(AX17/$AS17*100,1)</f>
        <v>81.7</v>
      </c>
      <c r="AZ17" s="589">
        <v>4319</v>
      </c>
      <c r="BA17" s="583">
        <v>9781</v>
      </c>
      <c r="BB17" s="588">
        <v>14193</v>
      </c>
    </row>
    <row r="18" spans="1:54" ht="17.100000000000001" customHeight="1" x14ac:dyDescent="0.2">
      <c r="A18" s="636" t="s">
        <v>258</v>
      </c>
      <c r="B18" s="595" t="s">
        <v>118</v>
      </c>
      <c r="C18" s="925">
        <v>18231</v>
      </c>
      <c r="D18" s="580">
        <v>16082</v>
      </c>
      <c r="E18" s="581">
        <f t="shared" si="0"/>
        <v>88.2</v>
      </c>
      <c r="F18" s="582">
        <v>16190</v>
      </c>
      <c r="G18" s="581">
        <f t="shared" si="1"/>
        <v>88.8</v>
      </c>
      <c r="H18" s="580">
        <v>16082</v>
      </c>
      <c r="I18" s="581">
        <f t="shared" si="2"/>
        <v>88.2</v>
      </c>
      <c r="J18" s="580">
        <v>16090</v>
      </c>
      <c r="K18" s="581">
        <f t="shared" si="3"/>
        <v>88.3</v>
      </c>
      <c r="L18" s="580">
        <v>16139</v>
      </c>
      <c r="M18" s="581">
        <f t="shared" si="4"/>
        <v>88.5</v>
      </c>
      <c r="N18" s="584">
        <v>15916</v>
      </c>
      <c r="O18" s="581">
        <f t="shared" si="5"/>
        <v>87.3</v>
      </c>
      <c r="P18" s="580">
        <v>16065</v>
      </c>
      <c r="Q18" s="581">
        <f t="shared" si="18"/>
        <v>88.1</v>
      </c>
      <c r="R18" s="580">
        <v>16000</v>
      </c>
      <c r="S18" s="581">
        <f t="shared" si="6"/>
        <v>87.8</v>
      </c>
      <c r="T18" s="585">
        <v>15544</v>
      </c>
      <c r="U18" s="581">
        <f t="shared" si="19"/>
        <v>113.7</v>
      </c>
      <c r="V18" s="585">
        <v>11296</v>
      </c>
      <c r="W18" s="592">
        <f t="shared" si="21"/>
        <v>82.6</v>
      </c>
      <c r="X18" s="935">
        <v>18823</v>
      </c>
      <c r="Y18" s="586">
        <v>16571</v>
      </c>
      <c r="Z18" s="581">
        <f t="shared" si="7"/>
        <v>88</v>
      </c>
      <c r="AA18" s="580">
        <v>16573</v>
      </c>
      <c r="AB18" s="581">
        <f t="shared" si="8"/>
        <v>88</v>
      </c>
      <c r="AC18" s="582">
        <v>16172</v>
      </c>
      <c r="AD18" s="581">
        <f t="shared" si="9"/>
        <v>88.7</v>
      </c>
      <c r="AE18" s="583">
        <v>16077</v>
      </c>
      <c r="AF18" s="581">
        <f t="shared" si="10"/>
        <v>88.2</v>
      </c>
      <c r="AG18" s="583">
        <v>16539</v>
      </c>
      <c r="AH18" s="581">
        <f t="shared" si="11"/>
        <v>87.9</v>
      </c>
      <c r="AI18" s="583">
        <v>287</v>
      </c>
      <c r="AJ18" s="587">
        <f t="shared" si="20"/>
        <v>1.5247303830420231</v>
      </c>
      <c r="AK18" s="583">
        <v>153</v>
      </c>
      <c r="AL18" s="588">
        <v>6442</v>
      </c>
      <c r="AM18" s="589">
        <v>16560</v>
      </c>
      <c r="AN18" s="581">
        <f t="shared" si="17"/>
        <v>88</v>
      </c>
      <c r="AO18" s="582">
        <v>16908</v>
      </c>
      <c r="AP18" s="581">
        <f t="shared" si="12"/>
        <v>89.8</v>
      </c>
      <c r="AQ18" s="582">
        <v>16914</v>
      </c>
      <c r="AR18" s="581">
        <f t="shared" si="13"/>
        <v>89.9</v>
      </c>
      <c r="AS18" s="630">
        <v>19939</v>
      </c>
      <c r="AT18" s="590">
        <v>18398</v>
      </c>
      <c r="AU18" s="581">
        <f t="shared" si="14"/>
        <v>92.3</v>
      </c>
      <c r="AV18" s="591">
        <v>18419</v>
      </c>
      <c r="AW18" s="581">
        <f t="shared" si="15"/>
        <v>92.4</v>
      </c>
      <c r="AX18" s="589">
        <v>18327</v>
      </c>
      <c r="AY18" s="592">
        <f t="shared" si="16"/>
        <v>91.9</v>
      </c>
      <c r="AZ18" s="589">
        <v>7655</v>
      </c>
      <c r="BA18" s="583">
        <v>45778</v>
      </c>
      <c r="BB18" s="588">
        <v>11105</v>
      </c>
    </row>
    <row r="19" spans="1:54" ht="17.100000000000001" customHeight="1" x14ac:dyDescent="0.2">
      <c r="A19" s="636" t="s">
        <v>259</v>
      </c>
      <c r="B19" s="595" t="s">
        <v>19</v>
      </c>
      <c r="C19" s="925">
        <v>11353</v>
      </c>
      <c r="D19" s="580">
        <v>9803</v>
      </c>
      <c r="E19" s="581">
        <f t="shared" si="0"/>
        <v>86.3</v>
      </c>
      <c r="F19" s="582">
        <v>9980</v>
      </c>
      <c r="G19" s="581">
        <f t="shared" si="1"/>
        <v>87.9</v>
      </c>
      <c r="H19" s="583">
        <v>10034</v>
      </c>
      <c r="I19" s="581">
        <f t="shared" si="2"/>
        <v>88.4</v>
      </c>
      <c r="J19" s="583">
        <v>9898</v>
      </c>
      <c r="K19" s="581">
        <f t="shared" si="3"/>
        <v>87.2</v>
      </c>
      <c r="L19" s="580">
        <v>10110</v>
      </c>
      <c r="M19" s="581">
        <f t="shared" si="4"/>
        <v>89.1</v>
      </c>
      <c r="N19" s="584">
        <v>10010</v>
      </c>
      <c r="O19" s="581">
        <f t="shared" si="5"/>
        <v>88.2</v>
      </c>
      <c r="P19" s="580">
        <v>9917</v>
      </c>
      <c r="Q19" s="581">
        <f t="shared" si="18"/>
        <v>87.4</v>
      </c>
      <c r="R19" s="583">
        <v>10027</v>
      </c>
      <c r="S19" s="581">
        <f t="shared" si="6"/>
        <v>88.3</v>
      </c>
      <c r="T19" s="585">
        <v>8536</v>
      </c>
      <c r="U19" s="581">
        <f t="shared" si="19"/>
        <v>100.2</v>
      </c>
      <c r="V19" s="585">
        <v>6613</v>
      </c>
      <c r="W19" s="592">
        <f t="shared" si="21"/>
        <v>77.7</v>
      </c>
      <c r="X19" s="935">
        <v>11384</v>
      </c>
      <c r="Y19" s="586">
        <v>10011</v>
      </c>
      <c r="Z19" s="581">
        <f t="shared" si="7"/>
        <v>87.9</v>
      </c>
      <c r="AA19" s="580">
        <v>10140</v>
      </c>
      <c r="AB19" s="581">
        <f t="shared" si="8"/>
        <v>89.1</v>
      </c>
      <c r="AC19" s="582">
        <v>9971</v>
      </c>
      <c r="AD19" s="581">
        <f t="shared" si="9"/>
        <v>87.8</v>
      </c>
      <c r="AE19" s="583">
        <v>10047</v>
      </c>
      <c r="AF19" s="581">
        <f t="shared" si="10"/>
        <v>88.5</v>
      </c>
      <c r="AG19" s="583">
        <v>9963</v>
      </c>
      <c r="AH19" s="581">
        <f t="shared" si="11"/>
        <v>87.5</v>
      </c>
      <c r="AI19" s="583">
        <v>211</v>
      </c>
      <c r="AJ19" s="587">
        <f t="shared" si="20"/>
        <v>1.8534785664089952</v>
      </c>
      <c r="AK19" s="583">
        <v>84</v>
      </c>
      <c r="AL19" s="588">
        <v>6560</v>
      </c>
      <c r="AM19" s="589">
        <v>10175</v>
      </c>
      <c r="AN19" s="581">
        <f t="shared" si="17"/>
        <v>89.4</v>
      </c>
      <c r="AO19" s="582">
        <v>10059</v>
      </c>
      <c r="AP19" s="581">
        <f t="shared" si="12"/>
        <v>88.4</v>
      </c>
      <c r="AQ19" s="582">
        <v>10069</v>
      </c>
      <c r="AR19" s="581">
        <f t="shared" si="13"/>
        <v>88.4</v>
      </c>
      <c r="AS19" s="630">
        <v>11992</v>
      </c>
      <c r="AT19" s="590">
        <v>10588</v>
      </c>
      <c r="AU19" s="581">
        <f t="shared" si="14"/>
        <v>88.3</v>
      </c>
      <c r="AV19" s="591">
        <v>10690</v>
      </c>
      <c r="AW19" s="581">
        <f t="shared" si="15"/>
        <v>89.1</v>
      </c>
      <c r="AX19" s="589">
        <v>9929</v>
      </c>
      <c r="AY19" s="592">
        <f t="shared" si="16"/>
        <v>82.8</v>
      </c>
      <c r="AZ19" s="589">
        <v>12564</v>
      </c>
      <c r="BA19" s="583">
        <v>33591</v>
      </c>
      <c r="BB19" s="588">
        <v>4809</v>
      </c>
    </row>
    <row r="20" spans="1:54" ht="17.100000000000001" customHeight="1" x14ac:dyDescent="0.2">
      <c r="A20" s="631" t="s">
        <v>260</v>
      </c>
      <c r="B20" s="593" t="s">
        <v>119</v>
      </c>
      <c r="C20" s="925">
        <v>10671</v>
      </c>
      <c r="D20" s="580">
        <v>7494</v>
      </c>
      <c r="E20" s="581">
        <f t="shared" si="0"/>
        <v>70.2</v>
      </c>
      <c r="F20" s="582">
        <v>7784</v>
      </c>
      <c r="G20" s="581">
        <f t="shared" si="1"/>
        <v>72.900000000000006</v>
      </c>
      <c r="H20" s="583">
        <v>7609</v>
      </c>
      <c r="I20" s="581">
        <f t="shared" si="2"/>
        <v>71.3</v>
      </c>
      <c r="J20" s="583">
        <v>7494</v>
      </c>
      <c r="K20" s="581">
        <f t="shared" si="3"/>
        <v>70.2</v>
      </c>
      <c r="L20" s="580">
        <v>8177</v>
      </c>
      <c r="M20" s="581">
        <f t="shared" si="4"/>
        <v>76.599999999999994</v>
      </c>
      <c r="N20" s="584">
        <v>8111</v>
      </c>
      <c r="O20" s="581">
        <f t="shared" si="5"/>
        <v>76</v>
      </c>
      <c r="P20" s="580">
        <v>7090</v>
      </c>
      <c r="Q20" s="581">
        <f t="shared" si="18"/>
        <v>66.400000000000006</v>
      </c>
      <c r="R20" s="583">
        <v>6992</v>
      </c>
      <c r="S20" s="581">
        <f t="shared" si="6"/>
        <v>65.5</v>
      </c>
      <c r="T20" s="585">
        <v>6416</v>
      </c>
      <c r="U20" s="581">
        <f t="shared" si="19"/>
        <v>80.2</v>
      </c>
      <c r="V20" s="585">
        <v>4837</v>
      </c>
      <c r="W20" s="592">
        <f t="shared" si="21"/>
        <v>60.4</v>
      </c>
      <c r="X20" s="935">
        <v>10579</v>
      </c>
      <c r="Y20" s="586">
        <v>7968</v>
      </c>
      <c r="Z20" s="581">
        <f t="shared" si="7"/>
        <v>75.3</v>
      </c>
      <c r="AA20" s="580">
        <v>7990</v>
      </c>
      <c r="AB20" s="581">
        <f t="shared" si="8"/>
        <v>75.5</v>
      </c>
      <c r="AC20" s="582">
        <v>7739</v>
      </c>
      <c r="AD20" s="581">
        <f t="shared" si="9"/>
        <v>72.5</v>
      </c>
      <c r="AE20" s="583">
        <v>7417</v>
      </c>
      <c r="AF20" s="581">
        <f t="shared" si="10"/>
        <v>69.5</v>
      </c>
      <c r="AG20" s="583">
        <v>7742</v>
      </c>
      <c r="AH20" s="581">
        <f t="shared" si="11"/>
        <v>73.2</v>
      </c>
      <c r="AI20" s="583">
        <v>96</v>
      </c>
      <c r="AJ20" s="587">
        <f t="shared" si="20"/>
        <v>0.9074581718498913</v>
      </c>
      <c r="AK20" s="583">
        <v>124</v>
      </c>
      <c r="AL20" s="588">
        <v>167</v>
      </c>
      <c r="AM20" s="589">
        <v>8007</v>
      </c>
      <c r="AN20" s="581">
        <f t="shared" si="17"/>
        <v>75.7</v>
      </c>
      <c r="AO20" s="582">
        <v>8062</v>
      </c>
      <c r="AP20" s="581">
        <f t="shared" si="12"/>
        <v>76.2</v>
      </c>
      <c r="AQ20" s="582">
        <v>8062</v>
      </c>
      <c r="AR20" s="581">
        <f t="shared" si="13"/>
        <v>76.2</v>
      </c>
      <c r="AS20" s="630">
        <v>10360</v>
      </c>
      <c r="AT20" s="590">
        <v>7390</v>
      </c>
      <c r="AU20" s="581">
        <f t="shared" si="14"/>
        <v>71.3</v>
      </c>
      <c r="AV20" s="591">
        <v>7395</v>
      </c>
      <c r="AW20" s="581">
        <f t="shared" si="15"/>
        <v>71.400000000000006</v>
      </c>
      <c r="AX20" s="589">
        <v>7388</v>
      </c>
      <c r="AY20" s="592">
        <f t="shared" si="16"/>
        <v>71.3</v>
      </c>
      <c r="AZ20" s="589">
        <v>2607</v>
      </c>
      <c r="BA20" s="583">
        <v>7363</v>
      </c>
      <c r="BB20" s="588">
        <v>4994</v>
      </c>
    </row>
    <row r="21" spans="1:54" ht="17.100000000000001" customHeight="1" x14ac:dyDescent="0.2">
      <c r="A21" s="636" t="s">
        <v>261</v>
      </c>
      <c r="B21" s="595" t="s">
        <v>21</v>
      </c>
      <c r="C21" s="925">
        <v>8140</v>
      </c>
      <c r="D21" s="580">
        <v>7520</v>
      </c>
      <c r="E21" s="581">
        <f t="shared" si="0"/>
        <v>92.4</v>
      </c>
      <c r="F21" s="582">
        <v>7377</v>
      </c>
      <c r="G21" s="581">
        <f t="shared" si="1"/>
        <v>90.6</v>
      </c>
      <c r="H21" s="583">
        <v>7568</v>
      </c>
      <c r="I21" s="581">
        <f t="shared" si="2"/>
        <v>93</v>
      </c>
      <c r="J21" s="583">
        <v>7530</v>
      </c>
      <c r="K21" s="581">
        <f t="shared" si="3"/>
        <v>92.5</v>
      </c>
      <c r="L21" s="580">
        <v>7149</v>
      </c>
      <c r="M21" s="581">
        <f t="shared" si="4"/>
        <v>87.8</v>
      </c>
      <c r="N21" s="584">
        <v>6993</v>
      </c>
      <c r="O21" s="581">
        <f t="shared" si="5"/>
        <v>85.9</v>
      </c>
      <c r="P21" s="580">
        <v>7321</v>
      </c>
      <c r="Q21" s="581">
        <f t="shared" si="18"/>
        <v>89.9</v>
      </c>
      <c r="R21" s="583">
        <v>7547</v>
      </c>
      <c r="S21" s="581">
        <f t="shared" si="6"/>
        <v>92.7</v>
      </c>
      <c r="T21" s="585">
        <v>5470</v>
      </c>
      <c r="U21" s="581">
        <f t="shared" si="19"/>
        <v>89.6</v>
      </c>
      <c r="V21" s="585">
        <v>3976</v>
      </c>
      <c r="W21" s="592">
        <f t="shared" si="21"/>
        <v>65.099999999999994</v>
      </c>
      <c r="X21" s="935">
        <v>8167</v>
      </c>
      <c r="Y21" s="586">
        <v>7588</v>
      </c>
      <c r="Z21" s="581">
        <f t="shared" si="7"/>
        <v>92.9</v>
      </c>
      <c r="AA21" s="580">
        <v>7589</v>
      </c>
      <c r="AB21" s="581">
        <f t="shared" si="8"/>
        <v>92.9</v>
      </c>
      <c r="AC21" s="582">
        <v>7372</v>
      </c>
      <c r="AD21" s="581">
        <f t="shared" si="9"/>
        <v>90.6</v>
      </c>
      <c r="AE21" s="583">
        <v>7590</v>
      </c>
      <c r="AF21" s="581">
        <f t="shared" si="10"/>
        <v>93.2</v>
      </c>
      <c r="AG21" s="583">
        <v>7600</v>
      </c>
      <c r="AH21" s="581">
        <f t="shared" si="11"/>
        <v>93.1</v>
      </c>
      <c r="AI21" s="583">
        <v>46</v>
      </c>
      <c r="AJ21" s="587">
        <f t="shared" si="20"/>
        <v>0.56324231664013713</v>
      </c>
      <c r="AK21" s="583">
        <v>29</v>
      </c>
      <c r="AL21" s="588">
        <v>3466</v>
      </c>
      <c r="AM21" s="589">
        <v>7648</v>
      </c>
      <c r="AN21" s="581">
        <f t="shared" si="17"/>
        <v>93.6</v>
      </c>
      <c r="AO21" s="582">
        <v>7763</v>
      </c>
      <c r="AP21" s="581">
        <f t="shared" si="12"/>
        <v>95.1</v>
      </c>
      <c r="AQ21" s="582">
        <v>7807</v>
      </c>
      <c r="AR21" s="581">
        <f t="shared" si="13"/>
        <v>95.6</v>
      </c>
      <c r="AS21" s="630">
        <v>7653</v>
      </c>
      <c r="AT21" s="590">
        <v>6964</v>
      </c>
      <c r="AU21" s="581">
        <f t="shared" si="14"/>
        <v>91</v>
      </c>
      <c r="AV21" s="591">
        <v>6966</v>
      </c>
      <c r="AW21" s="581">
        <f t="shared" si="15"/>
        <v>91</v>
      </c>
      <c r="AX21" s="589">
        <v>6929</v>
      </c>
      <c r="AY21" s="592">
        <f t="shared" si="16"/>
        <v>90.5</v>
      </c>
      <c r="AZ21" s="589">
        <v>1153</v>
      </c>
      <c r="BA21" s="583">
        <v>5449</v>
      </c>
      <c r="BB21" s="588">
        <v>3843</v>
      </c>
    </row>
    <row r="22" spans="1:54" ht="17.100000000000001" customHeight="1" x14ac:dyDescent="0.2">
      <c r="A22" s="631" t="s">
        <v>262</v>
      </c>
      <c r="B22" s="593" t="s">
        <v>18</v>
      </c>
      <c r="C22" s="925">
        <v>24117</v>
      </c>
      <c r="D22" s="580">
        <v>21723</v>
      </c>
      <c r="E22" s="581">
        <f t="shared" si="0"/>
        <v>90.1</v>
      </c>
      <c r="F22" s="582">
        <v>21235</v>
      </c>
      <c r="G22" s="581">
        <f t="shared" si="1"/>
        <v>88</v>
      </c>
      <c r="H22" s="583">
        <v>21163</v>
      </c>
      <c r="I22" s="581">
        <f t="shared" si="2"/>
        <v>87.8</v>
      </c>
      <c r="J22" s="583">
        <v>21700</v>
      </c>
      <c r="K22" s="581">
        <f t="shared" si="3"/>
        <v>90</v>
      </c>
      <c r="L22" s="580">
        <v>18240</v>
      </c>
      <c r="M22" s="581">
        <f t="shared" si="4"/>
        <v>75.599999999999994</v>
      </c>
      <c r="N22" s="584">
        <v>17312</v>
      </c>
      <c r="O22" s="581">
        <f t="shared" si="5"/>
        <v>71.8</v>
      </c>
      <c r="P22" s="580">
        <v>20653</v>
      </c>
      <c r="Q22" s="581">
        <f t="shared" si="18"/>
        <v>85.6</v>
      </c>
      <c r="R22" s="583">
        <v>20694</v>
      </c>
      <c r="S22" s="581">
        <f t="shared" si="6"/>
        <v>85.8</v>
      </c>
      <c r="T22" s="585">
        <v>17721</v>
      </c>
      <c r="U22" s="581">
        <f t="shared" si="19"/>
        <v>98</v>
      </c>
      <c r="V22" s="585">
        <v>12712</v>
      </c>
      <c r="W22" s="592">
        <f t="shared" si="21"/>
        <v>70.3</v>
      </c>
      <c r="X22" s="935">
        <v>24287</v>
      </c>
      <c r="Y22" s="586">
        <v>21562</v>
      </c>
      <c r="Z22" s="581">
        <f t="shared" si="7"/>
        <v>88.8</v>
      </c>
      <c r="AA22" s="580">
        <v>21699</v>
      </c>
      <c r="AB22" s="581">
        <f t="shared" si="8"/>
        <v>89.3</v>
      </c>
      <c r="AC22" s="582">
        <v>20992</v>
      </c>
      <c r="AD22" s="581">
        <f t="shared" si="9"/>
        <v>87</v>
      </c>
      <c r="AE22" s="583">
        <v>20938</v>
      </c>
      <c r="AF22" s="581">
        <f t="shared" si="10"/>
        <v>86.8</v>
      </c>
      <c r="AG22" s="583">
        <v>21422</v>
      </c>
      <c r="AH22" s="581">
        <f t="shared" si="11"/>
        <v>88.2</v>
      </c>
      <c r="AI22" s="583">
        <v>417</v>
      </c>
      <c r="AJ22" s="587">
        <f t="shared" si="20"/>
        <v>1.7169679252274879</v>
      </c>
      <c r="AK22" s="583">
        <v>148</v>
      </c>
      <c r="AL22" s="588">
        <v>198</v>
      </c>
      <c r="AM22" s="589">
        <v>21595</v>
      </c>
      <c r="AN22" s="581">
        <f t="shared" si="17"/>
        <v>88.9</v>
      </c>
      <c r="AO22" s="582">
        <v>21415</v>
      </c>
      <c r="AP22" s="581">
        <f t="shared" si="12"/>
        <v>88.2</v>
      </c>
      <c r="AQ22" s="582">
        <v>21244</v>
      </c>
      <c r="AR22" s="581">
        <f t="shared" si="13"/>
        <v>87.5</v>
      </c>
      <c r="AS22" s="630">
        <v>24234</v>
      </c>
      <c r="AT22" s="590">
        <v>20336</v>
      </c>
      <c r="AU22" s="581">
        <f t="shared" si="14"/>
        <v>83.9</v>
      </c>
      <c r="AV22" s="591">
        <v>20120</v>
      </c>
      <c r="AW22" s="581">
        <f t="shared" si="15"/>
        <v>83</v>
      </c>
      <c r="AX22" s="589">
        <v>19895</v>
      </c>
      <c r="AY22" s="592">
        <f t="shared" si="16"/>
        <v>82.1</v>
      </c>
      <c r="AZ22" s="589">
        <v>6851</v>
      </c>
      <c r="BA22" s="583">
        <v>27244</v>
      </c>
      <c r="BB22" s="588">
        <v>9365</v>
      </c>
    </row>
    <row r="23" spans="1:54" ht="17.100000000000001" customHeight="1" x14ac:dyDescent="0.2">
      <c r="A23" s="631" t="s">
        <v>263</v>
      </c>
      <c r="B23" s="593" t="s">
        <v>22</v>
      </c>
      <c r="C23" s="925">
        <v>23971</v>
      </c>
      <c r="D23" s="580">
        <v>22629</v>
      </c>
      <c r="E23" s="581">
        <f t="shared" si="0"/>
        <v>94.4</v>
      </c>
      <c r="F23" s="582">
        <v>23036</v>
      </c>
      <c r="G23" s="581">
        <f t="shared" si="1"/>
        <v>96.1</v>
      </c>
      <c r="H23" s="583">
        <v>22805</v>
      </c>
      <c r="I23" s="581">
        <f t="shared" si="2"/>
        <v>95.1</v>
      </c>
      <c r="J23" s="583">
        <v>22624</v>
      </c>
      <c r="K23" s="581">
        <f t="shared" si="3"/>
        <v>94.4</v>
      </c>
      <c r="L23" s="580">
        <v>22378</v>
      </c>
      <c r="M23" s="581">
        <f t="shared" si="4"/>
        <v>93.4</v>
      </c>
      <c r="N23" s="584">
        <v>21500</v>
      </c>
      <c r="O23" s="581">
        <f t="shared" si="5"/>
        <v>89.7</v>
      </c>
      <c r="P23" s="580">
        <v>22165</v>
      </c>
      <c r="Q23" s="581">
        <f t="shared" si="18"/>
        <v>92.5</v>
      </c>
      <c r="R23" s="583">
        <v>22175</v>
      </c>
      <c r="S23" s="581">
        <f t="shared" si="6"/>
        <v>92.5</v>
      </c>
      <c r="T23" s="585">
        <v>19479</v>
      </c>
      <c r="U23" s="581">
        <f t="shared" si="19"/>
        <v>108.3</v>
      </c>
      <c r="V23" s="585">
        <v>13513</v>
      </c>
      <c r="W23" s="592">
        <f t="shared" si="21"/>
        <v>75.2</v>
      </c>
      <c r="X23" s="935">
        <v>24223</v>
      </c>
      <c r="Y23" s="586">
        <v>23981</v>
      </c>
      <c r="Z23" s="581">
        <f t="shared" si="7"/>
        <v>99</v>
      </c>
      <c r="AA23" s="580">
        <v>23986</v>
      </c>
      <c r="AB23" s="581">
        <f t="shared" si="8"/>
        <v>99</v>
      </c>
      <c r="AC23" s="582">
        <v>23045</v>
      </c>
      <c r="AD23" s="581">
        <f t="shared" si="9"/>
        <v>96.1</v>
      </c>
      <c r="AE23" s="583">
        <v>22811</v>
      </c>
      <c r="AF23" s="581">
        <f t="shared" si="10"/>
        <v>95.2</v>
      </c>
      <c r="AG23" s="583">
        <v>23523</v>
      </c>
      <c r="AH23" s="581">
        <f t="shared" si="11"/>
        <v>97.1</v>
      </c>
      <c r="AI23" s="583">
        <v>219</v>
      </c>
      <c r="AJ23" s="587">
        <f t="shared" si="20"/>
        <v>0.90409940965198377</v>
      </c>
      <c r="AK23" s="583">
        <v>416</v>
      </c>
      <c r="AL23" s="588">
        <v>178</v>
      </c>
      <c r="AM23" s="589">
        <v>23850</v>
      </c>
      <c r="AN23" s="581">
        <f t="shared" si="17"/>
        <v>98.5</v>
      </c>
      <c r="AO23" s="582">
        <v>23879</v>
      </c>
      <c r="AP23" s="581">
        <f t="shared" si="12"/>
        <v>98.6</v>
      </c>
      <c r="AQ23" s="582">
        <v>23783</v>
      </c>
      <c r="AR23" s="581">
        <f t="shared" si="13"/>
        <v>98.2</v>
      </c>
      <c r="AS23" s="630">
        <v>23041</v>
      </c>
      <c r="AT23" s="590">
        <v>22382</v>
      </c>
      <c r="AU23" s="581">
        <f t="shared" si="14"/>
        <v>97.1</v>
      </c>
      <c r="AV23" s="591">
        <v>22371</v>
      </c>
      <c r="AW23" s="581">
        <f t="shared" si="15"/>
        <v>97.1</v>
      </c>
      <c r="AX23" s="589">
        <v>22133</v>
      </c>
      <c r="AY23" s="592">
        <f t="shared" si="16"/>
        <v>96.1</v>
      </c>
      <c r="AZ23" s="589">
        <v>6657</v>
      </c>
      <c r="BA23" s="583">
        <v>27549</v>
      </c>
      <c r="BB23" s="588">
        <v>13637</v>
      </c>
    </row>
    <row r="24" spans="1:54" ht="17.100000000000001" customHeight="1" x14ac:dyDescent="0.2">
      <c r="A24" s="631" t="s">
        <v>264</v>
      </c>
      <c r="B24" s="593" t="s">
        <v>120</v>
      </c>
      <c r="C24" s="925">
        <v>11126</v>
      </c>
      <c r="D24" s="580">
        <v>9544</v>
      </c>
      <c r="E24" s="581">
        <f t="shared" si="0"/>
        <v>85.8</v>
      </c>
      <c r="F24" s="582">
        <v>11817</v>
      </c>
      <c r="G24" s="581">
        <f t="shared" si="1"/>
        <v>106.2</v>
      </c>
      <c r="H24" s="583">
        <v>10534</v>
      </c>
      <c r="I24" s="581">
        <f t="shared" si="2"/>
        <v>94.7</v>
      </c>
      <c r="J24" s="583">
        <v>9544</v>
      </c>
      <c r="K24" s="581">
        <f t="shared" si="3"/>
        <v>85.8</v>
      </c>
      <c r="L24" s="580">
        <v>10766</v>
      </c>
      <c r="M24" s="581">
        <f t="shared" si="4"/>
        <v>96.8</v>
      </c>
      <c r="N24" s="584">
        <v>7802</v>
      </c>
      <c r="O24" s="581">
        <f t="shared" si="5"/>
        <v>70.099999999999994</v>
      </c>
      <c r="P24" s="580">
        <v>9168</v>
      </c>
      <c r="Q24" s="581">
        <f t="shared" si="18"/>
        <v>82.4</v>
      </c>
      <c r="R24" s="583">
        <v>8867</v>
      </c>
      <c r="S24" s="581">
        <f t="shared" si="6"/>
        <v>79.7</v>
      </c>
      <c r="T24" s="585">
        <v>8885</v>
      </c>
      <c r="U24" s="581">
        <f t="shared" si="19"/>
        <v>106.5</v>
      </c>
      <c r="V24" s="585">
        <v>4763</v>
      </c>
      <c r="W24" s="592">
        <f t="shared" si="21"/>
        <v>57.1</v>
      </c>
      <c r="X24" s="935">
        <v>11983</v>
      </c>
      <c r="Y24" s="586">
        <v>11493</v>
      </c>
      <c r="Z24" s="581">
        <f t="shared" si="7"/>
        <v>95.9</v>
      </c>
      <c r="AA24" s="580">
        <v>11560</v>
      </c>
      <c r="AB24" s="581">
        <f t="shared" si="8"/>
        <v>96.5</v>
      </c>
      <c r="AC24" s="582">
        <v>11659</v>
      </c>
      <c r="AD24" s="581">
        <f t="shared" si="9"/>
        <v>104.8</v>
      </c>
      <c r="AE24" s="583">
        <v>10555</v>
      </c>
      <c r="AF24" s="581">
        <f t="shared" si="10"/>
        <v>94.9</v>
      </c>
      <c r="AG24" s="583">
        <v>10488</v>
      </c>
      <c r="AH24" s="581">
        <f t="shared" si="11"/>
        <v>87.5</v>
      </c>
      <c r="AI24" s="583">
        <v>381</v>
      </c>
      <c r="AJ24" s="587">
        <f t="shared" si="20"/>
        <v>3.1795042977551526</v>
      </c>
      <c r="AK24" s="583">
        <v>1040</v>
      </c>
      <c r="AL24" s="588">
        <v>280</v>
      </c>
      <c r="AM24" s="589">
        <v>11255</v>
      </c>
      <c r="AN24" s="581">
        <f t="shared" si="17"/>
        <v>93.9</v>
      </c>
      <c r="AO24" s="582">
        <v>11316</v>
      </c>
      <c r="AP24" s="581">
        <f t="shared" si="12"/>
        <v>94.4</v>
      </c>
      <c r="AQ24" s="582">
        <v>11314</v>
      </c>
      <c r="AR24" s="581">
        <f t="shared" si="13"/>
        <v>94.4</v>
      </c>
      <c r="AS24" s="630">
        <v>10885</v>
      </c>
      <c r="AT24" s="590">
        <v>8685</v>
      </c>
      <c r="AU24" s="581">
        <f t="shared" si="14"/>
        <v>79.8</v>
      </c>
      <c r="AV24" s="591">
        <v>8685</v>
      </c>
      <c r="AW24" s="581">
        <f t="shared" si="15"/>
        <v>79.8</v>
      </c>
      <c r="AX24" s="589">
        <v>8696</v>
      </c>
      <c r="AY24" s="592">
        <f t="shared" si="16"/>
        <v>79.900000000000006</v>
      </c>
      <c r="AZ24" s="589">
        <v>2597</v>
      </c>
      <c r="BA24" s="583">
        <v>6981</v>
      </c>
      <c r="BB24" s="588">
        <v>1959</v>
      </c>
    </row>
    <row r="25" spans="1:54" ht="17.100000000000001" customHeight="1" x14ac:dyDescent="0.2">
      <c r="A25" s="631" t="s">
        <v>265</v>
      </c>
      <c r="B25" s="593" t="s">
        <v>121</v>
      </c>
      <c r="C25" s="925">
        <v>34998</v>
      </c>
      <c r="D25" s="580">
        <v>30882</v>
      </c>
      <c r="E25" s="581">
        <f t="shared" si="0"/>
        <v>88.2</v>
      </c>
      <c r="F25" s="582">
        <v>30247</v>
      </c>
      <c r="G25" s="581">
        <f t="shared" si="1"/>
        <v>86.4</v>
      </c>
      <c r="H25" s="583">
        <v>30037</v>
      </c>
      <c r="I25" s="581">
        <f t="shared" si="2"/>
        <v>85.8</v>
      </c>
      <c r="J25" s="583">
        <v>30890</v>
      </c>
      <c r="K25" s="581">
        <f t="shared" si="3"/>
        <v>88.3</v>
      </c>
      <c r="L25" s="580">
        <v>27218</v>
      </c>
      <c r="M25" s="581">
        <f t="shared" si="4"/>
        <v>77.8</v>
      </c>
      <c r="N25" s="584">
        <v>26003</v>
      </c>
      <c r="O25" s="581">
        <f t="shared" si="5"/>
        <v>74.3</v>
      </c>
      <c r="P25" s="580">
        <v>29614</v>
      </c>
      <c r="Q25" s="581">
        <f t="shared" si="18"/>
        <v>84.6</v>
      </c>
      <c r="R25" s="583">
        <v>29464</v>
      </c>
      <c r="S25" s="581">
        <f t="shared" si="6"/>
        <v>84.2</v>
      </c>
      <c r="T25" s="585">
        <v>24530</v>
      </c>
      <c r="U25" s="581">
        <f t="shared" si="19"/>
        <v>93.5</v>
      </c>
      <c r="V25" s="585">
        <v>17426</v>
      </c>
      <c r="W25" s="592">
        <f t="shared" si="21"/>
        <v>66.400000000000006</v>
      </c>
      <c r="X25" s="935">
        <v>34996</v>
      </c>
      <c r="Y25" s="586">
        <v>30596</v>
      </c>
      <c r="Z25" s="581">
        <f t="shared" si="7"/>
        <v>87.4</v>
      </c>
      <c r="AA25" s="580">
        <v>31426</v>
      </c>
      <c r="AB25" s="581">
        <f t="shared" si="8"/>
        <v>89.8</v>
      </c>
      <c r="AC25" s="582">
        <v>30219</v>
      </c>
      <c r="AD25" s="581">
        <f t="shared" si="9"/>
        <v>86.3</v>
      </c>
      <c r="AE25" s="583">
        <v>30087</v>
      </c>
      <c r="AF25" s="581">
        <f t="shared" si="10"/>
        <v>86</v>
      </c>
      <c r="AG25" s="583">
        <v>30241</v>
      </c>
      <c r="AH25" s="581">
        <f t="shared" si="11"/>
        <v>86.4</v>
      </c>
      <c r="AI25" s="583">
        <v>326</v>
      </c>
      <c r="AJ25" s="587">
        <f t="shared" si="20"/>
        <v>0.93153503257515147</v>
      </c>
      <c r="AK25" s="583">
        <v>223</v>
      </c>
      <c r="AL25" s="588">
        <v>492</v>
      </c>
      <c r="AM25" s="589">
        <v>30525</v>
      </c>
      <c r="AN25" s="581">
        <f t="shared" si="17"/>
        <v>87.2</v>
      </c>
      <c r="AO25" s="582">
        <v>30471</v>
      </c>
      <c r="AP25" s="581">
        <f t="shared" si="12"/>
        <v>87.1</v>
      </c>
      <c r="AQ25" s="582">
        <v>30479</v>
      </c>
      <c r="AR25" s="581">
        <f t="shared" si="13"/>
        <v>87.1</v>
      </c>
      <c r="AS25" s="630">
        <v>33683</v>
      </c>
      <c r="AT25" s="590">
        <v>29327</v>
      </c>
      <c r="AU25" s="581">
        <f t="shared" si="14"/>
        <v>87.1</v>
      </c>
      <c r="AV25" s="591">
        <v>29315</v>
      </c>
      <c r="AW25" s="581">
        <f t="shared" si="15"/>
        <v>87</v>
      </c>
      <c r="AX25" s="589">
        <v>29080</v>
      </c>
      <c r="AY25" s="592">
        <f t="shared" si="16"/>
        <v>86.3</v>
      </c>
      <c r="AZ25" s="589">
        <v>5780</v>
      </c>
      <c r="BA25" s="583">
        <v>17164</v>
      </c>
      <c r="BB25" s="588">
        <v>18195</v>
      </c>
    </row>
    <row r="26" spans="1:54" ht="17.100000000000001" customHeight="1" x14ac:dyDescent="0.2">
      <c r="A26" s="637" t="s">
        <v>265</v>
      </c>
      <c r="B26" s="593" t="s">
        <v>122</v>
      </c>
      <c r="C26" s="925">
        <v>38356</v>
      </c>
      <c r="D26" s="580">
        <v>36853</v>
      </c>
      <c r="E26" s="581">
        <f t="shared" si="0"/>
        <v>96.1</v>
      </c>
      <c r="F26" s="582">
        <v>36336</v>
      </c>
      <c r="G26" s="581">
        <f t="shared" si="1"/>
        <v>94.7</v>
      </c>
      <c r="H26" s="583">
        <v>37017</v>
      </c>
      <c r="I26" s="581">
        <f t="shared" si="2"/>
        <v>96.5</v>
      </c>
      <c r="J26" s="583">
        <v>36838</v>
      </c>
      <c r="K26" s="581">
        <f t="shared" si="3"/>
        <v>96</v>
      </c>
      <c r="L26" s="580">
        <v>18688</v>
      </c>
      <c r="M26" s="581">
        <f t="shared" si="4"/>
        <v>48.7</v>
      </c>
      <c r="N26" s="584">
        <v>18364</v>
      </c>
      <c r="O26" s="581">
        <f t="shared" si="5"/>
        <v>47.9</v>
      </c>
      <c r="P26" s="580">
        <v>36244</v>
      </c>
      <c r="Q26" s="581">
        <f t="shared" si="18"/>
        <v>94.5</v>
      </c>
      <c r="R26" s="583">
        <v>36982</v>
      </c>
      <c r="S26" s="581">
        <f t="shared" si="6"/>
        <v>96.4</v>
      </c>
      <c r="T26" s="585">
        <v>32697</v>
      </c>
      <c r="U26" s="581">
        <f t="shared" si="19"/>
        <v>113.7</v>
      </c>
      <c r="V26" s="585">
        <v>19213</v>
      </c>
      <c r="W26" s="592">
        <f t="shared" si="21"/>
        <v>66.8</v>
      </c>
      <c r="X26" s="935">
        <v>38795</v>
      </c>
      <c r="Y26" s="586">
        <v>38000</v>
      </c>
      <c r="Z26" s="581">
        <f t="shared" si="7"/>
        <v>98</v>
      </c>
      <c r="AA26" s="580">
        <v>38197</v>
      </c>
      <c r="AB26" s="581">
        <f t="shared" si="8"/>
        <v>98.5</v>
      </c>
      <c r="AC26" s="582">
        <v>36180</v>
      </c>
      <c r="AD26" s="581">
        <f t="shared" si="9"/>
        <v>94.3</v>
      </c>
      <c r="AE26" s="583">
        <v>36832</v>
      </c>
      <c r="AF26" s="581">
        <f t="shared" si="10"/>
        <v>96</v>
      </c>
      <c r="AG26" s="583">
        <v>37922</v>
      </c>
      <c r="AH26" s="581">
        <f t="shared" si="11"/>
        <v>97.7</v>
      </c>
      <c r="AI26" s="583">
        <v>538</v>
      </c>
      <c r="AJ26" s="587">
        <f t="shared" si="20"/>
        <v>1.386776646475061</v>
      </c>
      <c r="AK26" s="583">
        <v>234</v>
      </c>
      <c r="AL26" s="588">
        <v>1890</v>
      </c>
      <c r="AM26" s="589">
        <v>38385</v>
      </c>
      <c r="AN26" s="581">
        <f t="shared" si="17"/>
        <v>98.9</v>
      </c>
      <c r="AO26" s="582">
        <v>40068</v>
      </c>
      <c r="AP26" s="581">
        <f t="shared" si="12"/>
        <v>103.3</v>
      </c>
      <c r="AQ26" s="582">
        <v>39723</v>
      </c>
      <c r="AR26" s="581">
        <f t="shared" si="13"/>
        <v>102.4</v>
      </c>
      <c r="AS26" s="630">
        <v>40413</v>
      </c>
      <c r="AT26" s="590">
        <v>40431</v>
      </c>
      <c r="AU26" s="581">
        <f t="shared" si="14"/>
        <v>100</v>
      </c>
      <c r="AV26" s="591">
        <v>40171</v>
      </c>
      <c r="AW26" s="581">
        <f t="shared" si="15"/>
        <v>99.4</v>
      </c>
      <c r="AX26" s="589">
        <v>39212</v>
      </c>
      <c r="AY26" s="592">
        <f t="shared" si="16"/>
        <v>97</v>
      </c>
      <c r="AZ26" s="589">
        <v>19733</v>
      </c>
      <c r="BA26" s="583">
        <v>55570</v>
      </c>
      <c r="BB26" s="588">
        <v>10326</v>
      </c>
    </row>
    <row r="27" spans="1:54" ht="17.100000000000001" customHeight="1" x14ac:dyDescent="0.2">
      <c r="A27" s="631" t="s">
        <v>266</v>
      </c>
      <c r="B27" s="593" t="s">
        <v>123</v>
      </c>
      <c r="C27" s="925">
        <v>842</v>
      </c>
      <c r="D27" s="580">
        <v>688</v>
      </c>
      <c r="E27" s="581">
        <f t="shared" si="0"/>
        <v>81.7</v>
      </c>
      <c r="F27" s="582">
        <v>827</v>
      </c>
      <c r="G27" s="581">
        <f t="shared" si="1"/>
        <v>98.2</v>
      </c>
      <c r="H27" s="583">
        <v>770</v>
      </c>
      <c r="I27" s="581">
        <f t="shared" si="2"/>
        <v>91.4</v>
      </c>
      <c r="J27" s="583">
        <v>687</v>
      </c>
      <c r="K27" s="581">
        <f t="shared" si="3"/>
        <v>81.599999999999994</v>
      </c>
      <c r="L27" s="580">
        <v>889</v>
      </c>
      <c r="M27" s="581">
        <f t="shared" si="4"/>
        <v>105.6</v>
      </c>
      <c r="N27" s="584">
        <v>674</v>
      </c>
      <c r="O27" s="581">
        <f t="shared" si="5"/>
        <v>80</v>
      </c>
      <c r="P27" s="580">
        <v>644</v>
      </c>
      <c r="Q27" s="581">
        <f t="shared" si="18"/>
        <v>76.5</v>
      </c>
      <c r="R27" s="583">
        <v>656</v>
      </c>
      <c r="S27" s="581">
        <f t="shared" si="6"/>
        <v>77.900000000000006</v>
      </c>
      <c r="T27" s="585">
        <v>523</v>
      </c>
      <c r="U27" s="581">
        <f t="shared" si="19"/>
        <v>82.8</v>
      </c>
      <c r="V27" s="585">
        <v>324</v>
      </c>
      <c r="W27" s="592">
        <f t="shared" si="21"/>
        <v>51.3</v>
      </c>
      <c r="X27" s="935">
        <v>884</v>
      </c>
      <c r="Y27" s="586">
        <v>798</v>
      </c>
      <c r="Z27" s="581">
        <f t="shared" si="7"/>
        <v>90.3</v>
      </c>
      <c r="AA27" s="580">
        <v>796</v>
      </c>
      <c r="AB27" s="581">
        <f t="shared" si="8"/>
        <v>90</v>
      </c>
      <c r="AC27" s="582">
        <v>832</v>
      </c>
      <c r="AD27" s="581">
        <f t="shared" si="9"/>
        <v>98.8</v>
      </c>
      <c r="AE27" s="583">
        <v>778</v>
      </c>
      <c r="AF27" s="581">
        <f t="shared" si="10"/>
        <v>92.4</v>
      </c>
      <c r="AG27" s="583">
        <v>780</v>
      </c>
      <c r="AH27" s="581">
        <f t="shared" si="11"/>
        <v>88.2</v>
      </c>
      <c r="AI27" s="583">
        <v>33</v>
      </c>
      <c r="AJ27" s="587">
        <f t="shared" si="20"/>
        <v>3.7330316742081449</v>
      </c>
      <c r="AK27" s="583">
        <v>67</v>
      </c>
      <c r="AL27" s="588">
        <v>60</v>
      </c>
      <c r="AM27" s="589">
        <v>821</v>
      </c>
      <c r="AN27" s="581">
        <f t="shared" si="17"/>
        <v>92.9</v>
      </c>
      <c r="AO27" s="582">
        <v>900</v>
      </c>
      <c r="AP27" s="581">
        <f t="shared" si="12"/>
        <v>101.8</v>
      </c>
      <c r="AQ27" s="582">
        <v>898</v>
      </c>
      <c r="AR27" s="581">
        <f t="shared" si="13"/>
        <v>101.6</v>
      </c>
      <c r="AS27" s="630">
        <v>931</v>
      </c>
      <c r="AT27" s="590">
        <v>742</v>
      </c>
      <c r="AU27" s="581">
        <f t="shared" si="14"/>
        <v>79.7</v>
      </c>
      <c r="AV27" s="591">
        <v>715</v>
      </c>
      <c r="AW27" s="581">
        <f t="shared" si="15"/>
        <v>76.8</v>
      </c>
      <c r="AX27" s="589">
        <v>714</v>
      </c>
      <c r="AY27" s="592">
        <f t="shared" si="16"/>
        <v>76.7</v>
      </c>
      <c r="AZ27" s="589">
        <v>168</v>
      </c>
      <c r="BA27" s="583">
        <v>430</v>
      </c>
      <c r="BB27" s="588">
        <v>129</v>
      </c>
    </row>
    <row r="28" spans="1:54" ht="17.100000000000001" customHeight="1" x14ac:dyDescent="0.2">
      <c r="A28" s="636" t="s">
        <v>267</v>
      </c>
      <c r="B28" s="595" t="s">
        <v>26</v>
      </c>
      <c r="C28" s="925">
        <v>1724</v>
      </c>
      <c r="D28" s="580">
        <v>1180</v>
      </c>
      <c r="E28" s="581">
        <f t="shared" si="0"/>
        <v>68.400000000000006</v>
      </c>
      <c r="F28" s="582">
        <v>1235</v>
      </c>
      <c r="G28" s="581">
        <f t="shared" si="1"/>
        <v>71.599999999999994</v>
      </c>
      <c r="H28" s="583">
        <v>1221</v>
      </c>
      <c r="I28" s="581">
        <f t="shared" si="2"/>
        <v>70.8</v>
      </c>
      <c r="J28" s="583">
        <v>1180</v>
      </c>
      <c r="K28" s="581">
        <f t="shared" si="3"/>
        <v>68.400000000000006</v>
      </c>
      <c r="L28" s="580">
        <v>1200</v>
      </c>
      <c r="M28" s="581">
        <f t="shared" si="4"/>
        <v>69.599999999999994</v>
      </c>
      <c r="N28" s="584">
        <v>1165</v>
      </c>
      <c r="O28" s="581">
        <f t="shared" si="5"/>
        <v>67.599999999999994</v>
      </c>
      <c r="P28" s="580">
        <v>1197</v>
      </c>
      <c r="Q28" s="581">
        <f t="shared" si="18"/>
        <v>69.400000000000006</v>
      </c>
      <c r="R28" s="583">
        <v>1187</v>
      </c>
      <c r="S28" s="581">
        <f t="shared" si="6"/>
        <v>68.900000000000006</v>
      </c>
      <c r="T28" s="585">
        <v>1023</v>
      </c>
      <c r="U28" s="581">
        <f t="shared" si="19"/>
        <v>79.099999999999994</v>
      </c>
      <c r="V28" s="585">
        <v>794</v>
      </c>
      <c r="W28" s="592">
        <f t="shared" si="21"/>
        <v>61.4</v>
      </c>
      <c r="X28" s="935">
        <v>1742</v>
      </c>
      <c r="Y28" s="586">
        <v>1273</v>
      </c>
      <c r="Z28" s="581">
        <f t="shared" si="7"/>
        <v>73.099999999999994</v>
      </c>
      <c r="AA28" s="580">
        <v>1275</v>
      </c>
      <c r="AB28" s="581">
        <f t="shared" si="8"/>
        <v>73.2</v>
      </c>
      <c r="AC28" s="582">
        <v>1229</v>
      </c>
      <c r="AD28" s="581">
        <f t="shared" si="9"/>
        <v>71.3</v>
      </c>
      <c r="AE28" s="583">
        <v>1224</v>
      </c>
      <c r="AF28" s="581">
        <f t="shared" si="10"/>
        <v>71</v>
      </c>
      <c r="AG28" s="583">
        <v>1277</v>
      </c>
      <c r="AH28" s="581">
        <f t="shared" si="11"/>
        <v>73.3</v>
      </c>
      <c r="AI28" s="583">
        <v>7</v>
      </c>
      <c r="AJ28" s="587">
        <f t="shared" si="20"/>
        <v>0.40183696900114813</v>
      </c>
      <c r="AK28" s="583">
        <v>11</v>
      </c>
      <c r="AL28" s="588">
        <v>32</v>
      </c>
      <c r="AM28" s="589">
        <v>1281</v>
      </c>
      <c r="AN28" s="581">
        <f t="shared" si="17"/>
        <v>73.5</v>
      </c>
      <c r="AO28" s="582">
        <v>1390</v>
      </c>
      <c r="AP28" s="581">
        <f t="shared" si="12"/>
        <v>79.8</v>
      </c>
      <c r="AQ28" s="582">
        <v>1389</v>
      </c>
      <c r="AR28" s="581">
        <f t="shared" si="13"/>
        <v>79.7</v>
      </c>
      <c r="AS28" s="630">
        <v>1958</v>
      </c>
      <c r="AT28" s="590">
        <v>1337</v>
      </c>
      <c r="AU28" s="581">
        <f t="shared" si="14"/>
        <v>68.3</v>
      </c>
      <c r="AV28" s="591">
        <v>1346</v>
      </c>
      <c r="AW28" s="581">
        <f t="shared" si="15"/>
        <v>68.7</v>
      </c>
      <c r="AX28" s="589">
        <v>1325</v>
      </c>
      <c r="AY28" s="592">
        <f t="shared" si="16"/>
        <v>67.7</v>
      </c>
      <c r="AZ28" s="589">
        <v>657</v>
      </c>
      <c r="BA28" s="583">
        <v>1682</v>
      </c>
      <c r="BB28" s="588">
        <v>709</v>
      </c>
    </row>
    <row r="29" spans="1:54" ht="17.100000000000001" customHeight="1" x14ac:dyDescent="0.2">
      <c r="A29" s="636" t="s">
        <v>268</v>
      </c>
      <c r="B29" s="595" t="s">
        <v>27</v>
      </c>
      <c r="C29" s="925">
        <v>21921</v>
      </c>
      <c r="D29" s="580">
        <v>19595</v>
      </c>
      <c r="E29" s="581">
        <f t="shared" si="0"/>
        <v>89.4</v>
      </c>
      <c r="F29" s="582">
        <v>19696</v>
      </c>
      <c r="G29" s="581">
        <f t="shared" si="1"/>
        <v>89.8</v>
      </c>
      <c r="H29" s="583">
        <v>19793</v>
      </c>
      <c r="I29" s="581">
        <f t="shared" si="2"/>
        <v>90.3</v>
      </c>
      <c r="J29" s="583">
        <v>19621</v>
      </c>
      <c r="K29" s="581">
        <f t="shared" si="3"/>
        <v>89.5</v>
      </c>
      <c r="L29" s="580">
        <v>19908</v>
      </c>
      <c r="M29" s="581">
        <f t="shared" si="4"/>
        <v>90.8</v>
      </c>
      <c r="N29" s="584">
        <v>19663</v>
      </c>
      <c r="O29" s="581">
        <f t="shared" si="5"/>
        <v>89.7</v>
      </c>
      <c r="P29" s="580">
        <v>19461</v>
      </c>
      <c r="Q29" s="581">
        <f t="shared" si="18"/>
        <v>88.8</v>
      </c>
      <c r="R29" s="583">
        <v>19592</v>
      </c>
      <c r="S29" s="581">
        <f t="shared" si="6"/>
        <v>89.4</v>
      </c>
      <c r="T29" s="585">
        <v>14490</v>
      </c>
      <c r="U29" s="581">
        <f t="shared" si="19"/>
        <v>88.1</v>
      </c>
      <c r="V29" s="585">
        <v>9435</v>
      </c>
      <c r="W29" s="592">
        <f t="shared" si="21"/>
        <v>57.4</v>
      </c>
      <c r="X29" s="935">
        <v>21917</v>
      </c>
      <c r="Y29" s="586">
        <v>20020</v>
      </c>
      <c r="Z29" s="581">
        <f t="shared" si="7"/>
        <v>91.3</v>
      </c>
      <c r="AA29" s="580">
        <v>20106</v>
      </c>
      <c r="AB29" s="581">
        <f t="shared" si="8"/>
        <v>91.7</v>
      </c>
      <c r="AC29" s="582">
        <v>19695</v>
      </c>
      <c r="AD29" s="581">
        <f t="shared" si="9"/>
        <v>89.8</v>
      </c>
      <c r="AE29" s="583">
        <v>19783</v>
      </c>
      <c r="AF29" s="581">
        <f t="shared" si="10"/>
        <v>90.2</v>
      </c>
      <c r="AG29" s="583">
        <v>19973</v>
      </c>
      <c r="AH29" s="581">
        <f t="shared" si="11"/>
        <v>91.1</v>
      </c>
      <c r="AI29" s="583">
        <v>52</v>
      </c>
      <c r="AJ29" s="587">
        <f t="shared" si="20"/>
        <v>0.23725874891636628</v>
      </c>
      <c r="AK29" s="583">
        <v>72</v>
      </c>
      <c r="AL29" s="588">
        <v>518</v>
      </c>
      <c r="AM29" s="589">
        <v>19988</v>
      </c>
      <c r="AN29" s="581">
        <f t="shared" si="17"/>
        <v>91.2</v>
      </c>
      <c r="AO29" s="582">
        <v>20271</v>
      </c>
      <c r="AP29" s="581">
        <f t="shared" si="12"/>
        <v>92.5</v>
      </c>
      <c r="AQ29" s="582">
        <v>20270</v>
      </c>
      <c r="AR29" s="581">
        <f t="shared" si="13"/>
        <v>92.5</v>
      </c>
      <c r="AS29" s="630">
        <v>21134</v>
      </c>
      <c r="AT29" s="590">
        <v>18584</v>
      </c>
      <c r="AU29" s="581">
        <f t="shared" si="14"/>
        <v>87.9</v>
      </c>
      <c r="AV29" s="591">
        <v>18580</v>
      </c>
      <c r="AW29" s="581">
        <f t="shared" si="15"/>
        <v>87.9</v>
      </c>
      <c r="AX29" s="589">
        <v>18358</v>
      </c>
      <c r="AY29" s="592">
        <f t="shared" si="16"/>
        <v>86.9</v>
      </c>
      <c r="AZ29" s="589">
        <v>11867</v>
      </c>
      <c r="BA29" s="583">
        <v>37461</v>
      </c>
      <c r="BB29" s="588">
        <v>12837</v>
      </c>
    </row>
    <row r="30" spans="1:54" ht="17.100000000000001" customHeight="1" x14ac:dyDescent="0.2">
      <c r="A30" s="636" t="s">
        <v>269</v>
      </c>
      <c r="B30" s="595" t="s">
        <v>124</v>
      </c>
      <c r="C30" s="925">
        <v>20565</v>
      </c>
      <c r="D30" s="580">
        <v>17259</v>
      </c>
      <c r="E30" s="581">
        <f t="shared" si="0"/>
        <v>83.9</v>
      </c>
      <c r="F30" s="582">
        <v>18587</v>
      </c>
      <c r="G30" s="581">
        <f t="shared" si="1"/>
        <v>90.4</v>
      </c>
      <c r="H30" s="583">
        <v>17769</v>
      </c>
      <c r="I30" s="581">
        <f t="shared" si="2"/>
        <v>86.4</v>
      </c>
      <c r="J30" s="583">
        <v>17326</v>
      </c>
      <c r="K30" s="581">
        <f t="shared" si="3"/>
        <v>84.2</v>
      </c>
      <c r="L30" s="580">
        <v>17656</v>
      </c>
      <c r="M30" s="581">
        <f t="shared" si="4"/>
        <v>85.9</v>
      </c>
      <c r="N30" s="584">
        <v>15597</v>
      </c>
      <c r="O30" s="581">
        <f t="shared" si="5"/>
        <v>75.8</v>
      </c>
      <c r="P30" s="580">
        <v>16570</v>
      </c>
      <c r="Q30" s="581">
        <f t="shared" si="18"/>
        <v>80.599999999999994</v>
      </c>
      <c r="R30" s="583">
        <v>16535</v>
      </c>
      <c r="S30" s="581">
        <f t="shared" si="6"/>
        <v>80.400000000000006</v>
      </c>
      <c r="T30" s="585">
        <v>14376</v>
      </c>
      <c r="U30" s="581">
        <f t="shared" si="19"/>
        <v>93.2</v>
      </c>
      <c r="V30" s="585">
        <v>8822</v>
      </c>
      <c r="W30" s="592">
        <f t="shared" si="21"/>
        <v>57.2</v>
      </c>
      <c r="X30" s="935">
        <v>20319</v>
      </c>
      <c r="Y30" s="586">
        <v>18791</v>
      </c>
      <c r="Z30" s="581">
        <f t="shared" si="7"/>
        <v>92.5</v>
      </c>
      <c r="AA30" s="580">
        <v>18809</v>
      </c>
      <c r="AB30" s="581">
        <f t="shared" si="8"/>
        <v>92.6</v>
      </c>
      <c r="AC30" s="582">
        <v>18452</v>
      </c>
      <c r="AD30" s="581">
        <f t="shared" si="9"/>
        <v>89.7</v>
      </c>
      <c r="AE30" s="583">
        <v>17684</v>
      </c>
      <c r="AF30" s="581">
        <f t="shared" si="10"/>
        <v>86</v>
      </c>
      <c r="AG30" s="583">
        <v>18421</v>
      </c>
      <c r="AH30" s="581">
        <f t="shared" si="11"/>
        <v>90.7</v>
      </c>
      <c r="AI30" s="583">
        <v>804</v>
      </c>
      <c r="AJ30" s="587">
        <f t="shared" si="20"/>
        <v>3.9568876421083714</v>
      </c>
      <c r="AK30" s="583">
        <v>664</v>
      </c>
      <c r="AL30" s="588">
        <v>2114</v>
      </c>
      <c r="AM30" s="589">
        <v>18643</v>
      </c>
      <c r="AN30" s="581">
        <f t="shared" si="17"/>
        <v>91.8</v>
      </c>
      <c r="AO30" s="582">
        <v>19156</v>
      </c>
      <c r="AP30" s="581">
        <f t="shared" si="12"/>
        <v>94.3</v>
      </c>
      <c r="AQ30" s="582">
        <v>19048</v>
      </c>
      <c r="AR30" s="581">
        <f t="shared" si="13"/>
        <v>93.7</v>
      </c>
      <c r="AS30" s="630">
        <v>19731</v>
      </c>
      <c r="AT30" s="590">
        <v>15374</v>
      </c>
      <c r="AU30" s="581">
        <f t="shared" si="14"/>
        <v>77.900000000000006</v>
      </c>
      <c r="AV30" s="591">
        <v>15366</v>
      </c>
      <c r="AW30" s="581">
        <f t="shared" si="15"/>
        <v>77.900000000000006</v>
      </c>
      <c r="AX30" s="589">
        <v>15403</v>
      </c>
      <c r="AY30" s="592">
        <f t="shared" si="16"/>
        <v>78.099999999999994</v>
      </c>
      <c r="AZ30" s="589">
        <v>2829</v>
      </c>
      <c r="BA30" s="583">
        <v>7288</v>
      </c>
      <c r="BB30" s="588">
        <v>5746</v>
      </c>
    </row>
    <row r="31" spans="1:54" ht="17.100000000000001" customHeight="1" x14ac:dyDescent="0.2">
      <c r="A31" s="636" t="s">
        <v>270</v>
      </c>
      <c r="B31" s="595" t="s">
        <v>28</v>
      </c>
      <c r="C31" s="925">
        <v>18305</v>
      </c>
      <c r="D31" s="580">
        <v>16640</v>
      </c>
      <c r="E31" s="581">
        <f t="shared" si="0"/>
        <v>90.9</v>
      </c>
      <c r="F31" s="582">
        <v>16725</v>
      </c>
      <c r="G31" s="581">
        <f t="shared" si="1"/>
        <v>91.4</v>
      </c>
      <c r="H31" s="583">
        <v>16725</v>
      </c>
      <c r="I31" s="581">
        <f t="shared" si="2"/>
        <v>91.4</v>
      </c>
      <c r="J31" s="583">
        <v>16649</v>
      </c>
      <c r="K31" s="581">
        <f t="shared" si="3"/>
        <v>91</v>
      </c>
      <c r="L31" s="580">
        <v>14819</v>
      </c>
      <c r="M31" s="581">
        <f t="shared" si="4"/>
        <v>81</v>
      </c>
      <c r="N31" s="584">
        <v>14079</v>
      </c>
      <c r="O31" s="581">
        <f t="shared" si="5"/>
        <v>76.900000000000006</v>
      </c>
      <c r="P31" s="580">
        <v>16324</v>
      </c>
      <c r="Q31" s="581">
        <f t="shared" si="18"/>
        <v>89.2</v>
      </c>
      <c r="R31" s="583">
        <v>16473</v>
      </c>
      <c r="S31" s="581">
        <f t="shared" si="6"/>
        <v>90</v>
      </c>
      <c r="T31" s="585">
        <v>13570</v>
      </c>
      <c r="U31" s="581">
        <f t="shared" si="19"/>
        <v>98.8</v>
      </c>
      <c r="V31" s="585">
        <v>9482</v>
      </c>
      <c r="W31" s="592">
        <f t="shared" si="21"/>
        <v>69.099999999999994</v>
      </c>
      <c r="X31" s="935">
        <v>18750</v>
      </c>
      <c r="Y31" s="586">
        <v>17401</v>
      </c>
      <c r="Z31" s="581">
        <f t="shared" si="7"/>
        <v>92.8</v>
      </c>
      <c r="AA31" s="580">
        <v>17436</v>
      </c>
      <c r="AB31" s="581">
        <f t="shared" si="8"/>
        <v>93</v>
      </c>
      <c r="AC31" s="582">
        <v>16749</v>
      </c>
      <c r="AD31" s="581">
        <f t="shared" si="9"/>
        <v>91.5</v>
      </c>
      <c r="AE31" s="583">
        <v>16740</v>
      </c>
      <c r="AF31" s="581">
        <f t="shared" si="10"/>
        <v>91.5</v>
      </c>
      <c r="AG31" s="583">
        <v>17313</v>
      </c>
      <c r="AH31" s="581">
        <f t="shared" si="11"/>
        <v>92.3</v>
      </c>
      <c r="AI31" s="583">
        <v>118</v>
      </c>
      <c r="AJ31" s="587">
        <f t="shared" si="20"/>
        <v>0.6293333333333333</v>
      </c>
      <c r="AK31" s="583">
        <v>180</v>
      </c>
      <c r="AL31" s="588">
        <v>158</v>
      </c>
      <c r="AM31" s="589">
        <v>17476</v>
      </c>
      <c r="AN31" s="581">
        <f t="shared" si="17"/>
        <v>93.2</v>
      </c>
      <c r="AO31" s="582">
        <v>17851</v>
      </c>
      <c r="AP31" s="581">
        <f t="shared" si="12"/>
        <v>95.2</v>
      </c>
      <c r="AQ31" s="582">
        <v>17847</v>
      </c>
      <c r="AR31" s="581">
        <f t="shared" si="13"/>
        <v>95.2</v>
      </c>
      <c r="AS31" s="630">
        <v>18106</v>
      </c>
      <c r="AT31" s="590">
        <v>16733</v>
      </c>
      <c r="AU31" s="581">
        <f t="shared" si="14"/>
        <v>92.4</v>
      </c>
      <c r="AV31" s="591">
        <v>16749</v>
      </c>
      <c r="AW31" s="581">
        <f t="shared" si="15"/>
        <v>92.5</v>
      </c>
      <c r="AX31" s="589">
        <v>16650</v>
      </c>
      <c r="AY31" s="592">
        <f t="shared" si="16"/>
        <v>92</v>
      </c>
      <c r="AZ31" s="589">
        <v>6544</v>
      </c>
      <c r="BA31" s="583">
        <v>17094</v>
      </c>
      <c r="BB31" s="588">
        <v>8907</v>
      </c>
    </row>
    <row r="32" spans="1:54" ht="17.100000000000001" customHeight="1" x14ac:dyDescent="0.2">
      <c r="A32" s="632" t="s">
        <v>271</v>
      </c>
      <c r="B32" s="594" t="s">
        <v>127</v>
      </c>
      <c r="C32" s="925">
        <v>8870</v>
      </c>
      <c r="D32" s="580">
        <v>8670</v>
      </c>
      <c r="E32" s="581">
        <f t="shared" si="0"/>
        <v>97.7</v>
      </c>
      <c r="F32" s="582">
        <v>9052</v>
      </c>
      <c r="G32" s="581">
        <f t="shared" si="1"/>
        <v>102.1</v>
      </c>
      <c r="H32" s="583">
        <v>8751</v>
      </c>
      <c r="I32" s="581">
        <f t="shared" si="2"/>
        <v>98.7</v>
      </c>
      <c r="J32" s="583">
        <v>8721</v>
      </c>
      <c r="K32" s="581">
        <f t="shared" si="3"/>
        <v>98.3</v>
      </c>
      <c r="L32" s="580">
        <v>9919</v>
      </c>
      <c r="M32" s="581">
        <f t="shared" si="4"/>
        <v>111.8</v>
      </c>
      <c r="N32" s="584">
        <v>9595</v>
      </c>
      <c r="O32" s="581">
        <f t="shared" si="5"/>
        <v>108.2</v>
      </c>
      <c r="P32" s="580">
        <v>8475</v>
      </c>
      <c r="Q32" s="581">
        <f t="shared" si="18"/>
        <v>95.5</v>
      </c>
      <c r="R32" s="583">
        <v>8314</v>
      </c>
      <c r="S32" s="581">
        <f t="shared" si="6"/>
        <v>93.7</v>
      </c>
      <c r="T32" s="585">
        <v>7223</v>
      </c>
      <c r="U32" s="581">
        <f t="shared" si="19"/>
        <v>108.6</v>
      </c>
      <c r="V32" s="585">
        <v>4569</v>
      </c>
      <c r="W32" s="592">
        <f t="shared" si="21"/>
        <v>68.7</v>
      </c>
      <c r="X32" s="936">
        <v>8972</v>
      </c>
      <c r="Y32" s="586">
        <v>8798</v>
      </c>
      <c r="Z32" s="581">
        <f t="shared" si="7"/>
        <v>98.1</v>
      </c>
      <c r="AA32" s="580">
        <v>8869</v>
      </c>
      <c r="AB32" s="581">
        <f t="shared" si="8"/>
        <v>98.9</v>
      </c>
      <c r="AC32" s="582">
        <v>8800</v>
      </c>
      <c r="AD32" s="581">
        <f t="shared" si="9"/>
        <v>99.2</v>
      </c>
      <c r="AE32" s="583">
        <v>8489</v>
      </c>
      <c r="AF32" s="581">
        <f t="shared" si="10"/>
        <v>95.7</v>
      </c>
      <c r="AG32" s="583">
        <v>7614</v>
      </c>
      <c r="AH32" s="581">
        <f t="shared" si="11"/>
        <v>84.9</v>
      </c>
      <c r="AI32" s="583">
        <v>381</v>
      </c>
      <c r="AJ32" s="587">
        <f t="shared" si="20"/>
        <v>4.2465448060633078</v>
      </c>
      <c r="AK32" s="583">
        <v>305</v>
      </c>
      <c r="AL32" s="588">
        <v>219</v>
      </c>
      <c r="AM32" s="589">
        <v>8524</v>
      </c>
      <c r="AN32" s="581">
        <f t="shared" si="17"/>
        <v>95</v>
      </c>
      <c r="AO32" s="582">
        <v>7893</v>
      </c>
      <c r="AP32" s="581">
        <f t="shared" si="12"/>
        <v>88</v>
      </c>
      <c r="AQ32" s="582">
        <v>7848</v>
      </c>
      <c r="AR32" s="581">
        <f t="shared" si="13"/>
        <v>87.5</v>
      </c>
      <c r="AS32" s="635">
        <v>8820</v>
      </c>
      <c r="AT32" s="590">
        <v>7341</v>
      </c>
      <c r="AU32" s="581">
        <f>ROUND(AT32/$AS32*100,1)</f>
        <v>83.2</v>
      </c>
      <c r="AV32" s="591">
        <v>7345</v>
      </c>
      <c r="AW32" s="581">
        <f>ROUND(AV32/$AS32*100,1)</f>
        <v>83.3</v>
      </c>
      <c r="AX32" s="589">
        <v>6690</v>
      </c>
      <c r="AY32" s="592">
        <f>ROUND(AX32/$AS32*100,1)</f>
        <v>75.900000000000006</v>
      </c>
      <c r="AZ32" s="589">
        <v>2898</v>
      </c>
      <c r="BA32" s="583">
        <v>4691</v>
      </c>
      <c r="BB32" s="588">
        <v>5323</v>
      </c>
    </row>
    <row r="33" spans="1:54" ht="17.100000000000001" customHeight="1" x14ac:dyDescent="0.2">
      <c r="A33" s="631" t="s">
        <v>272</v>
      </c>
      <c r="B33" s="593" t="s">
        <v>29</v>
      </c>
      <c r="C33" s="925">
        <v>17331</v>
      </c>
      <c r="D33" s="580">
        <v>15536</v>
      </c>
      <c r="E33" s="581">
        <f t="shared" si="0"/>
        <v>89.6</v>
      </c>
      <c r="F33" s="582">
        <v>15981</v>
      </c>
      <c r="G33" s="581">
        <f t="shared" si="1"/>
        <v>92.2</v>
      </c>
      <c r="H33" s="580">
        <v>15970</v>
      </c>
      <c r="I33" s="581">
        <f t="shared" si="2"/>
        <v>92.1</v>
      </c>
      <c r="J33" s="580">
        <v>15486</v>
      </c>
      <c r="K33" s="596">
        <f t="shared" si="3"/>
        <v>89.4</v>
      </c>
      <c r="L33" s="580">
        <v>16658</v>
      </c>
      <c r="M33" s="581">
        <f t="shared" si="4"/>
        <v>96.1</v>
      </c>
      <c r="N33" s="584">
        <v>16414</v>
      </c>
      <c r="O33" s="581">
        <f t="shared" si="5"/>
        <v>94.7</v>
      </c>
      <c r="P33" s="580">
        <v>15507</v>
      </c>
      <c r="Q33" s="581">
        <f t="shared" si="18"/>
        <v>89.5</v>
      </c>
      <c r="R33" s="580">
        <v>15651</v>
      </c>
      <c r="S33" s="581">
        <f t="shared" si="6"/>
        <v>90.3</v>
      </c>
      <c r="T33" s="585">
        <v>10073</v>
      </c>
      <c r="U33" s="581">
        <f t="shared" si="19"/>
        <v>77.5</v>
      </c>
      <c r="V33" s="585">
        <v>7234</v>
      </c>
      <c r="W33" s="592">
        <f t="shared" si="21"/>
        <v>55.7</v>
      </c>
      <c r="X33" s="935">
        <v>17528</v>
      </c>
      <c r="Y33" s="586">
        <v>16187</v>
      </c>
      <c r="Z33" s="581">
        <f t="shared" si="7"/>
        <v>92.3</v>
      </c>
      <c r="AA33" s="580">
        <v>16134</v>
      </c>
      <c r="AB33" s="581">
        <f t="shared" si="8"/>
        <v>92</v>
      </c>
      <c r="AC33" s="582">
        <v>16055</v>
      </c>
      <c r="AD33" s="581">
        <f t="shared" si="9"/>
        <v>92.6</v>
      </c>
      <c r="AE33" s="583">
        <v>16007</v>
      </c>
      <c r="AF33" s="581">
        <f t="shared" si="10"/>
        <v>92.4</v>
      </c>
      <c r="AG33" s="583">
        <v>16023</v>
      </c>
      <c r="AH33" s="581">
        <f t="shared" si="11"/>
        <v>91.4</v>
      </c>
      <c r="AI33" s="583">
        <v>141</v>
      </c>
      <c r="AJ33" s="587">
        <f t="shared" si="20"/>
        <v>0.80442720219078057</v>
      </c>
      <c r="AK33" s="583">
        <v>117</v>
      </c>
      <c r="AL33" s="588">
        <v>156</v>
      </c>
      <c r="AM33" s="589">
        <v>16231</v>
      </c>
      <c r="AN33" s="581">
        <f t="shared" si="17"/>
        <v>92.6</v>
      </c>
      <c r="AO33" s="582">
        <v>16718</v>
      </c>
      <c r="AP33" s="581">
        <f t="shared" si="12"/>
        <v>95.4</v>
      </c>
      <c r="AQ33" s="582">
        <v>16694</v>
      </c>
      <c r="AR33" s="581">
        <f t="shared" si="13"/>
        <v>95.2</v>
      </c>
      <c r="AS33" s="630">
        <v>17568</v>
      </c>
      <c r="AT33" s="590">
        <v>16082</v>
      </c>
      <c r="AU33" s="581">
        <f t="shared" si="14"/>
        <v>91.5</v>
      </c>
      <c r="AV33" s="591">
        <v>16064</v>
      </c>
      <c r="AW33" s="581">
        <f t="shared" si="15"/>
        <v>91.4</v>
      </c>
      <c r="AX33" s="589">
        <v>16106</v>
      </c>
      <c r="AY33" s="592">
        <f t="shared" si="16"/>
        <v>91.7</v>
      </c>
      <c r="AZ33" s="589">
        <v>2240</v>
      </c>
      <c r="BA33" s="583">
        <v>13513</v>
      </c>
      <c r="BB33" s="588">
        <v>7519</v>
      </c>
    </row>
    <row r="34" spans="1:54" ht="17.100000000000001" customHeight="1" x14ac:dyDescent="0.2">
      <c r="A34" s="636" t="s">
        <v>273</v>
      </c>
      <c r="B34" s="595" t="s">
        <v>30</v>
      </c>
      <c r="C34" s="925">
        <v>22636</v>
      </c>
      <c r="D34" s="580">
        <v>20384</v>
      </c>
      <c r="E34" s="581">
        <f t="shared" si="0"/>
        <v>90.1</v>
      </c>
      <c r="F34" s="582">
        <v>19973</v>
      </c>
      <c r="G34" s="581">
        <f t="shared" si="1"/>
        <v>88.2</v>
      </c>
      <c r="H34" s="583">
        <v>19810</v>
      </c>
      <c r="I34" s="581">
        <f t="shared" si="2"/>
        <v>87.5</v>
      </c>
      <c r="J34" s="583">
        <v>20370</v>
      </c>
      <c r="K34" s="581">
        <f t="shared" si="3"/>
        <v>90</v>
      </c>
      <c r="L34" s="580">
        <v>20373</v>
      </c>
      <c r="M34" s="581">
        <f t="shared" si="4"/>
        <v>90</v>
      </c>
      <c r="N34" s="584">
        <v>19684</v>
      </c>
      <c r="O34" s="581">
        <f t="shared" si="5"/>
        <v>87</v>
      </c>
      <c r="P34" s="580">
        <v>19462</v>
      </c>
      <c r="Q34" s="581">
        <f t="shared" si="18"/>
        <v>86</v>
      </c>
      <c r="R34" s="583">
        <v>19510</v>
      </c>
      <c r="S34" s="581">
        <f t="shared" si="6"/>
        <v>86.2</v>
      </c>
      <c r="T34" s="585">
        <v>16263</v>
      </c>
      <c r="U34" s="581">
        <f t="shared" si="19"/>
        <v>95.8</v>
      </c>
      <c r="V34" s="585">
        <v>13929</v>
      </c>
      <c r="W34" s="592">
        <f t="shared" si="21"/>
        <v>82</v>
      </c>
      <c r="X34" s="935">
        <v>22622</v>
      </c>
      <c r="Y34" s="586">
        <v>20369</v>
      </c>
      <c r="Z34" s="581">
        <f t="shared" si="7"/>
        <v>90</v>
      </c>
      <c r="AA34" s="580">
        <v>20385</v>
      </c>
      <c r="AB34" s="581">
        <f t="shared" si="8"/>
        <v>90.1</v>
      </c>
      <c r="AC34" s="582">
        <v>19968</v>
      </c>
      <c r="AD34" s="581">
        <f t="shared" si="9"/>
        <v>88.2</v>
      </c>
      <c r="AE34" s="583">
        <v>19842</v>
      </c>
      <c r="AF34" s="581">
        <f t="shared" si="10"/>
        <v>87.7</v>
      </c>
      <c r="AG34" s="583">
        <v>20208</v>
      </c>
      <c r="AH34" s="581">
        <f t="shared" si="11"/>
        <v>89.3</v>
      </c>
      <c r="AI34" s="583">
        <v>92</v>
      </c>
      <c r="AJ34" s="587">
        <f t="shared" si="20"/>
        <v>0.406683759172487</v>
      </c>
      <c r="AK34" s="583">
        <v>122</v>
      </c>
      <c r="AL34" s="588">
        <v>103</v>
      </c>
      <c r="AM34" s="589">
        <v>20437</v>
      </c>
      <c r="AN34" s="581">
        <f t="shared" si="17"/>
        <v>90.3</v>
      </c>
      <c r="AO34" s="582">
        <v>19937</v>
      </c>
      <c r="AP34" s="581">
        <f t="shared" si="12"/>
        <v>88.1</v>
      </c>
      <c r="AQ34" s="582">
        <v>19930</v>
      </c>
      <c r="AR34" s="581">
        <f t="shared" si="13"/>
        <v>88.1</v>
      </c>
      <c r="AS34" s="630">
        <v>23982</v>
      </c>
      <c r="AT34" s="590">
        <v>21514</v>
      </c>
      <c r="AU34" s="581">
        <f t="shared" si="14"/>
        <v>89.7</v>
      </c>
      <c r="AV34" s="591">
        <v>21521</v>
      </c>
      <c r="AW34" s="581">
        <f t="shared" si="15"/>
        <v>89.7</v>
      </c>
      <c r="AX34" s="589">
        <v>21525</v>
      </c>
      <c r="AY34" s="592">
        <f t="shared" si="16"/>
        <v>89.8</v>
      </c>
      <c r="AZ34" s="589">
        <v>10045</v>
      </c>
      <c r="BA34" s="583">
        <v>70896</v>
      </c>
      <c r="BB34" s="588">
        <v>12091</v>
      </c>
    </row>
    <row r="35" spans="1:54" ht="17.100000000000001" customHeight="1" x14ac:dyDescent="0.2">
      <c r="A35" s="638" t="s">
        <v>274</v>
      </c>
      <c r="B35" s="597" t="s">
        <v>125</v>
      </c>
      <c r="C35" s="925">
        <v>24004</v>
      </c>
      <c r="D35" s="580">
        <v>22651</v>
      </c>
      <c r="E35" s="581">
        <f t="shared" si="0"/>
        <v>94.4</v>
      </c>
      <c r="F35" s="582">
        <v>21455</v>
      </c>
      <c r="G35" s="581">
        <f t="shared" si="1"/>
        <v>89.4</v>
      </c>
      <c r="H35" s="583">
        <v>21470</v>
      </c>
      <c r="I35" s="581">
        <f t="shared" si="2"/>
        <v>89.4</v>
      </c>
      <c r="J35" s="583">
        <v>22649</v>
      </c>
      <c r="K35" s="581">
        <f t="shared" si="3"/>
        <v>94.4</v>
      </c>
      <c r="L35" s="580">
        <v>21286</v>
      </c>
      <c r="M35" s="581">
        <f t="shared" si="4"/>
        <v>88.7</v>
      </c>
      <c r="N35" s="584">
        <v>20422</v>
      </c>
      <c r="O35" s="581">
        <f t="shared" si="5"/>
        <v>85.1</v>
      </c>
      <c r="P35" s="580">
        <v>20979</v>
      </c>
      <c r="Q35" s="581">
        <f t="shared" si="18"/>
        <v>87.4</v>
      </c>
      <c r="R35" s="583">
        <v>21249</v>
      </c>
      <c r="S35" s="581">
        <f t="shared" si="6"/>
        <v>88.5</v>
      </c>
      <c r="T35" s="585">
        <v>16481</v>
      </c>
      <c r="U35" s="581">
        <f t="shared" si="19"/>
        <v>91.5</v>
      </c>
      <c r="V35" s="585">
        <v>11043</v>
      </c>
      <c r="W35" s="592">
        <f t="shared" si="21"/>
        <v>61.3</v>
      </c>
      <c r="X35" s="935">
        <v>23949</v>
      </c>
      <c r="Y35" s="586">
        <v>22649</v>
      </c>
      <c r="Z35" s="581">
        <f t="shared" si="7"/>
        <v>94.6</v>
      </c>
      <c r="AA35" s="580">
        <v>22685</v>
      </c>
      <c r="AB35" s="581">
        <f t="shared" si="8"/>
        <v>94.7</v>
      </c>
      <c r="AC35" s="582">
        <v>21633</v>
      </c>
      <c r="AD35" s="581">
        <f t="shared" si="9"/>
        <v>90.1</v>
      </c>
      <c r="AE35" s="583">
        <v>21617</v>
      </c>
      <c r="AF35" s="581">
        <f t="shared" si="10"/>
        <v>90.1</v>
      </c>
      <c r="AG35" s="583">
        <v>22479</v>
      </c>
      <c r="AH35" s="581">
        <f t="shared" si="11"/>
        <v>93.9</v>
      </c>
      <c r="AI35" s="583">
        <v>169</v>
      </c>
      <c r="AJ35" s="587">
        <f t="shared" si="20"/>
        <v>0.70566620735730101</v>
      </c>
      <c r="AK35" s="583">
        <v>330</v>
      </c>
      <c r="AL35" s="588">
        <v>1492</v>
      </c>
      <c r="AM35" s="589">
        <v>22770</v>
      </c>
      <c r="AN35" s="581">
        <f t="shared" si="17"/>
        <v>95.1</v>
      </c>
      <c r="AO35" s="582">
        <v>21284</v>
      </c>
      <c r="AP35" s="581">
        <f t="shared" si="12"/>
        <v>88.9</v>
      </c>
      <c r="AQ35" s="582">
        <v>21288</v>
      </c>
      <c r="AR35" s="581">
        <f t="shared" si="13"/>
        <v>88.9</v>
      </c>
      <c r="AS35" s="630">
        <v>23958</v>
      </c>
      <c r="AT35" s="590">
        <v>21768</v>
      </c>
      <c r="AU35" s="581">
        <f t="shared" si="14"/>
        <v>90.9</v>
      </c>
      <c r="AV35" s="591">
        <v>21786</v>
      </c>
      <c r="AW35" s="581">
        <f t="shared" si="15"/>
        <v>90.9</v>
      </c>
      <c r="AX35" s="589">
        <v>21743</v>
      </c>
      <c r="AY35" s="592">
        <f t="shared" si="16"/>
        <v>90.8</v>
      </c>
      <c r="AZ35" s="589">
        <v>8317</v>
      </c>
      <c r="BA35" s="583">
        <v>34537</v>
      </c>
      <c r="BB35" s="588">
        <v>8419</v>
      </c>
    </row>
    <row r="36" spans="1:54" ht="17.100000000000001" customHeight="1" x14ac:dyDescent="0.2">
      <c r="A36" s="636" t="s">
        <v>275</v>
      </c>
      <c r="B36" s="595" t="s">
        <v>31</v>
      </c>
      <c r="C36" s="925">
        <v>6020</v>
      </c>
      <c r="D36" s="580">
        <v>4790</v>
      </c>
      <c r="E36" s="581">
        <f t="shared" si="0"/>
        <v>79.599999999999994</v>
      </c>
      <c r="F36" s="582">
        <v>4840</v>
      </c>
      <c r="G36" s="581">
        <f t="shared" si="1"/>
        <v>80.400000000000006</v>
      </c>
      <c r="H36" s="583">
        <v>4904</v>
      </c>
      <c r="I36" s="581">
        <f t="shared" si="2"/>
        <v>81.5</v>
      </c>
      <c r="J36" s="583">
        <v>4793</v>
      </c>
      <c r="K36" s="581">
        <f t="shared" si="3"/>
        <v>79.599999999999994</v>
      </c>
      <c r="L36" s="580">
        <v>4442</v>
      </c>
      <c r="M36" s="581">
        <f t="shared" si="4"/>
        <v>73.8</v>
      </c>
      <c r="N36" s="584">
        <v>4259</v>
      </c>
      <c r="O36" s="581">
        <f t="shared" si="5"/>
        <v>70.7</v>
      </c>
      <c r="P36" s="580">
        <v>4662</v>
      </c>
      <c r="Q36" s="581">
        <f t="shared" si="18"/>
        <v>77.400000000000006</v>
      </c>
      <c r="R36" s="583">
        <v>4773</v>
      </c>
      <c r="S36" s="581">
        <f t="shared" si="6"/>
        <v>79.3</v>
      </c>
      <c r="T36" s="585">
        <v>2951</v>
      </c>
      <c r="U36" s="581">
        <f t="shared" si="19"/>
        <v>65.400000000000006</v>
      </c>
      <c r="V36" s="585">
        <v>2331</v>
      </c>
      <c r="W36" s="592">
        <f t="shared" si="21"/>
        <v>51.6</v>
      </c>
      <c r="X36" s="935">
        <v>6062</v>
      </c>
      <c r="Y36" s="586">
        <v>5039</v>
      </c>
      <c r="Z36" s="581">
        <f t="shared" si="7"/>
        <v>83.1</v>
      </c>
      <c r="AA36" s="580">
        <v>5059</v>
      </c>
      <c r="AB36" s="581">
        <f t="shared" si="8"/>
        <v>83.5</v>
      </c>
      <c r="AC36" s="582">
        <v>4842</v>
      </c>
      <c r="AD36" s="581">
        <f t="shared" si="9"/>
        <v>80.400000000000006</v>
      </c>
      <c r="AE36" s="583">
        <v>4897</v>
      </c>
      <c r="AF36" s="581">
        <f t="shared" si="10"/>
        <v>81.3</v>
      </c>
      <c r="AG36" s="583">
        <v>5006</v>
      </c>
      <c r="AH36" s="581">
        <f t="shared" si="11"/>
        <v>82.6</v>
      </c>
      <c r="AI36" s="583">
        <v>33</v>
      </c>
      <c r="AJ36" s="587">
        <f t="shared" si="20"/>
        <v>0.54437479379742659</v>
      </c>
      <c r="AK36" s="583">
        <v>53</v>
      </c>
      <c r="AL36" s="588">
        <v>30</v>
      </c>
      <c r="AM36" s="589">
        <v>5079</v>
      </c>
      <c r="AN36" s="581">
        <f t="shared" si="17"/>
        <v>83.8</v>
      </c>
      <c r="AO36" s="582">
        <v>5348</v>
      </c>
      <c r="AP36" s="581">
        <f t="shared" si="12"/>
        <v>88.2</v>
      </c>
      <c r="AQ36" s="582">
        <v>5346</v>
      </c>
      <c r="AR36" s="581">
        <f t="shared" si="13"/>
        <v>88.2</v>
      </c>
      <c r="AS36" s="630">
        <v>6482</v>
      </c>
      <c r="AT36" s="590">
        <v>5169</v>
      </c>
      <c r="AU36" s="581">
        <f t="shared" si="14"/>
        <v>79.7</v>
      </c>
      <c r="AV36" s="591">
        <v>5171</v>
      </c>
      <c r="AW36" s="581">
        <f t="shared" si="15"/>
        <v>79.8</v>
      </c>
      <c r="AX36" s="589">
        <v>5171</v>
      </c>
      <c r="AY36" s="592">
        <f t="shared" si="16"/>
        <v>79.8</v>
      </c>
      <c r="AZ36" s="589">
        <v>1829</v>
      </c>
      <c r="BA36" s="583">
        <v>8941</v>
      </c>
      <c r="BB36" s="588">
        <v>2702</v>
      </c>
    </row>
    <row r="37" spans="1:54" ht="17.100000000000001" customHeight="1" x14ac:dyDescent="0.2">
      <c r="A37" s="631" t="s">
        <v>276</v>
      </c>
      <c r="B37" s="593" t="s">
        <v>205</v>
      </c>
      <c r="C37" s="925">
        <v>6438</v>
      </c>
      <c r="D37" s="580">
        <v>5607</v>
      </c>
      <c r="E37" s="581">
        <f t="shared" si="0"/>
        <v>87.1</v>
      </c>
      <c r="F37" s="582">
        <v>5772</v>
      </c>
      <c r="G37" s="581">
        <f t="shared" si="1"/>
        <v>89.7</v>
      </c>
      <c r="H37" s="583">
        <v>5633</v>
      </c>
      <c r="I37" s="581">
        <f t="shared" si="2"/>
        <v>87.5</v>
      </c>
      <c r="J37" s="583">
        <v>5601</v>
      </c>
      <c r="K37" s="581">
        <f t="shared" si="3"/>
        <v>87</v>
      </c>
      <c r="L37" s="580">
        <v>6008</v>
      </c>
      <c r="M37" s="581">
        <f t="shared" si="4"/>
        <v>93.3</v>
      </c>
      <c r="N37" s="584">
        <v>5970</v>
      </c>
      <c r="O37" s="581">
        <f t="shared" si="5"/>
        <v>92.7</v>
      </c>
      <c r="P37" s="580">
        <v>5757</v>
      </c>
      <c r="Q37" s="581">
        <f t="shared" si="18"/>
        <v>89.4</v>
      </c>
      <c r="R37" s="583">
        <v>5588</v>
      </c>
      <c r="S37" s="581">
        <f t="shared" si="6"/>
        <v>86.8</v>
      </c>
      <c r="T37" s="585">
        <v>5378</v>
      </c>
      <c r="U37" s="581">
        <f t="shared" si="19"/>
        <v>111.4</v>
      </c>
      <c r="V37" s="585">
        <v>4421</v>
      </c>
      <c r="W37" s="592">
        <f t="shared" si="21"/>
        <v>91.6</v>
      </c>
      <c r="X37" s="935">
        <v>6437</v>
      </c>
      <c r="Y37" s="586">
        <v>5804</v>
      </c>
      <c r="Z37" s="581">
        <f t="shared" si="7"/>
        <v>90.2</v>
      </c>
      <c r="AA37" s="580">
        <v>5835</v>
      </c>
      <c r="AB37" s="581">
        <f t="shared" si="8"/>
        <v>90.6</v>
      </c>
      <c r="AC37" s="582">
        <v>5814</v>
      </c>
      <c r="AD37" s="581">
        <f t="shared" si="9"/>
        <v>90.3</v>
      </c>
      <c r="AE37" s="583">
        <v>7529</v>
      </c>
      <c r="AF37" s="581">
        <f t="shared" si="10"/>
        <v>116.9</v>
      </c>
      <c r="AG37" s="583">
        <v>5812</v>
      </c>
      <c r="AH37" s="581">
        <f t="shared" si="11"/>
        <v>90.3</v>
      </c>
      <c r="AI37" s="583">
        <v>30</v>
      </c>
      <c r="AJ37" s="587">
        <f t="shared" si="20"/>
        <v>0.46605561597017248</v>
      </c>
      <c r="AK37" s="583">
        <v>10</v>
      </c>
      <c r="AL37" s="588">
        <v>18</v>
      </c>
      <c r="AM37" s="589">
        <v>5859</v>
      </c>
      <c r="AN37" s="581">
        <f t="shared" si="17"/>
        <v>91</v>
      </c>
      <c r="AO37" s="582">
        <v>5876</v>
      </c>
      <c r="AP37" s="581">
        <f t="shared" si="12"/>
        <v>91.3</v>
      </c>
      <c r="AQ37" s="582">
        <v>5873</v>
      </c>
      <c r="AR37" s="581">
        <f t="shared" si="13"/>
        <v>91.2</v>
      </c>
      <c r="AS37" s="630">
        <v>6717</v>
      </c>
      <c r="AT37" s="590">
        <v>6130</v>
      </c>
      <c r="AU37" s="581">
        <f t="shared" si="14"/>
        <v>91.3</v>
      </c>
      <c r="AV37" s="591">
        <v>6128</v>
      </c>
      <c r="AW37" s="581">
        <f t="shared" si="15"/>
        <v>91.2</v>
      </c>
      <c r="AX37" s="589">
        <v>6071</v>
      </c>
      <c r="AY37" s="592">
        <f t="shared" si="16"/>
        <v>90.4</v>
      </c>
      <c r="AZ37" s="589">
        <v>3798</v>
      </c>
      <c r="BA37" s="583">
        <v>22314</v>
      </c>
      <c r="BB37" s="588">
        <v>3906</v>
      </c>
    </row>
    <row r="38" spans="1:54" ht="17.100000000000001" customHeight="1" x14ac:dyDescent="0.2">
      <c r="A38" s="631" t="s">
        <v>279</v>
      </c>
      <c r="B38" s="593" t="s">
        <v>33</v>
      </c>
      <c r="C38" s="925">
        <v>11835</v>
      </c>
      <c r="D38" s="580">
        <v>10425</v>
      </c>
      <c r="E38" s="581">
        <f t="shared" si="0"/>
        <v>88.1</v>
      </c>
      <c r="F38" s="582">
        <v>10783</v>
      </c>
      <c r="G38" s="581">
        <f t="shared" si="1"/>
        <v>91.1</v>
      </c>
      <c r="H38" s="583">
        <v>10729</v>
      </c>
      <c r="I38" s="581">
        <f t="shared" si="2"/>
        <v>90.7</v>
      </c>
      <c r="J38" s="583">
        <v>10473</v>
      </c>
      <c r="K38" s="581">
        <f t="shared" si="3"/>
        <v>88.5</v>
      </c>
      <c r="L38" s="580">
        <v>11493</v>
      </c>
      <c r="M38" s="581">
        <f t="shared" si="4"/>
        <v>97.1</v>
      </c>
      <c r="N38" s="584">
        <v>10971</v>
      </c>
      <c r="O38" s="581">
        <f t="shared" si="5"/>
        <v>92.7</v>
      </c>
      <c r="P38" s="580">
        <v>10641</v>
      </c>
      <c r="Q38" s="581">
        <f t="shared" si="18"/>
        <v>89.9</v>
      </c>
      <c r="R38" s="583">
        <v>10562</v>
      </c>
      <c r="S38" s="581">
        <f t="shared" si="6"/>
        <v>89.2</v>
      </c>
      <c r="T38" s="585">
        <v>8250</v>
      </c>
      <c r="U38" s="581">
        <f t="shared" si="19"/>
        <v>92.9</v>
      </c>
      <c r="V38" s="585">
        <v>5690</v>
      </c>
      <c r="W38" s="592">
        <f t="shared" si="21"/>
        <v>64.099999999999994</v>
      </c>
      <c r="X38" s="935">
        <v>11758</v>
      </c>
      <c r="Y38" s="586">
        <v>10754</v>
      </c>
      <c r="Z38" s="581">
        <f t="shared" si="7"/>
        <v>91.5</v>
      </c>
      <c r="AA38" s="580">
        <v>10840</v>
      </c>
      <c r="AB38" s="581">
        <f t="shared" si="8"/>
        <v>92.2</v>
      </c>
      <c r="AC38" s="582">
        <v>10753</v>
      </c>
      <c r="AD38" s="581">
        <f t="shared" si="9"/>
        <v>90.9</v>
      </c>
      <c r="AE38" s="583">
        <v>10696</v>
      </c>
      <c r="AF38" s="581">
        <f t="shared" si="10"/>
        <v>90.4</v>
      </c>
      <c r="AG38" s="583">
        <v>10540</v>
      </c>
      <c r="AH38" s="581">
        <f t="shared" si="11"/>
        <v>89.6</v>
      </c>
      <c r="AI38" s="583">
        <v>203</v>
      </c>
      <c r="AJ38" s="587">
        <f t="shared" si="20"/>
        <v>1.7264840959346828</v>
      </c>
      <c r="AK38" s="583">
        <v>81</v>
      </c>
      <c r="AL38" s="588">
        <v>298</v>
      </c>
      <c r="AM38" s="589">
        <v>10882</v>
      </c>
      <c r="AN38" s="581">
        <f t="shared" si="17"/>
        <v>92.5</v>
      </c>
      <c r="AO38" s="598">
        <v>10722</v>
      </c>
      <c r="AP38" s="581">
        <f t="shared" si="12"/>
        <v>91.2</v>
      </c>
      <c r="AQ38" s="582">
        <v>10741</v>
      </c>
      <c r="AR38" s="581">
        <f t="shared" si="13"/>
        <v>91.4</v>
      </c>
      <c r="AS38" s="630">
        <v>12425</v>
      </c>
      <c r="AT38" s="590">
        <v>11130</v>
      </c>
      <c r="AU38" s="581">
        <f t="shared" si="14"/>
        <v>89.6</v>
      </c>
      <c r="AV38" s="591">
        <v>11277</v>
      </c>
      <c r="AW38" s="581">
        <f t="shared" si="15"/>
        <v>90.8</v>
      </c>
      <c r="AX38" s="589">
        <v>10254</v>
      </c>
      <c r="AY38" s="592">
        <f t="shared" si="16"/>
        <v>82.5</v>
      </c>
      <c r="AZ38" s="589">
        <v>10915</v>
      </c>
      <c r="BA38" s="583">
        <v>34547</v>
      </c>
      <c r="BB38" s="588">
        <v>5126</v>
      </c>
    </row>
    <row r="39" spans="1:54" ht="17.100000000000001" customHeight="1" x14ac:dyDescent="0.2">
      <c r="A39" s="631" t="s">
        <v>278</v>
      </c>
      <c r="B39" s="593" t="s">
        <v>126</v>
      </c>
      <c r="C39" s="925">
        <v>930</v>
      </c>
      <c r="D39" s="580">
        <v>824</v>
      </c>
      <c r="E39" s="581">
        <f t="shared" si="0"/>
        <v>88.6</v>
      </c>
      <c r="F39" s="582">
        <v>803</v>
      </c>
      <c r="G39" s="581">
        <f t="shared" si="1"/>
        <v>86.3</v>
      </c>
      <c r="H39" s="583">
        <v>843</v>
      </c>
      <c r="I39" s="581">
        <f t="shared" si="2"/>
        <v>90.6</v>
      </c>
      <c r="J39" s="583">
        <v>823</v>
      </c>
      <c r="K39" s="581">
        <f t="shared" si="3"/>
        <v>88.5</v>
      </c>
      <c r="L39" s="580">
        <v>847</v>
      </c>
      <c r="M39" s="581">
        <f t="shared" si="4"/>
        <v>91.1</v>
      </c>
      <c r="N39" s="584">
        <v>843</v>
      </c>
      <c r="O39" s="581">
        <f t="shared" si="5"/>
        <v>90.6</v>
      </c>
      <c r="P39" s="580">
        <v>810</v>
      </c>
      <c r="Q39" s="581">
        <f t="shared" si="18"/>
        <v>87.1</v>
      </c>
      <c r="R39" s="583">
        <v>826</v>
      </c>
      <c r="S39" s="581">
        <f t="shared" si="6"/>
        <v>88.8</v>
      </c>
      <c r="T39" s="585">
        <v>750</v>
      </c>
      <c r="U39" s="581">
        <f t="shared" si="19"/>
        <v>107.5</v>
      </c>
      <c r="V39" s="585">
        <v>647</v>
      </c>
      <c r="W39" s="592">
        <f t="shared" si="21"/>
        <v>92.8</v>
      </c>
      <c r="X39" s="935">
        <v>918</v>
      </c>
      <c r="Y39" s="586">
        <v>790</v>
      </c>
      <c r="Z39" s="581">
        <f t="shared" si="7"/>
        <v>86.1</v>
      </c>
      <c r="AA39" s="580">
        <v>819</v>
      </c>
      <c r="AB39" s="581">
        <f t="shared" si="8"/>
        <v>89.2</v>
      </c>
      <c r="AC39" s="582">
        <v>806</v>
      </c>
      <c r="AD39" s="581">
        <f t="shared" si="9"/>
        <v>86.7</v>
      </c>
      <c r="AE39" s="583">
        <v>834</v>
      </c>
      <c r="AF39" s="581">
        <f t="shared" si="10"/>
        <v>89.7</v>
      </c>
      <c r="AG39" s="583">
        <v>785</v>
      </c>
      <c r="AH39" s="581">
        <f t="shared" si="11"/>
        <v>85.5</v>
      </c>
      <c r="AI39" s="583">
        <v>5</v>
      </c>
      <c r="AJ39" s="587">
        <f t="shared" si="20"/>
        <v>0.54466230936819171</v>
      </c>
      <c r="AK39" s="583">
        <v>1</v>
      </c>
      <c r="AL39" s="588">
        <v>3</v>
      </c>
      <c r="AM39" s="589">
        <v>1045</v>
      </c>
      <c r="AN39" s="581">
        <f t="shared" si="17"/>
        <v>113.8</v>
      </c>
      <c r="AO39" s="582">
        <v>855</v>
      </c>
      <c r="AP39" s="581">
        <f t="shared" si="12"/>
        <v>93.1</v>
      </c>
      <c r="AQ39" s="582">
        <v>828</v>
      </c>
      <c r="AR39" s="581">
        <f t="shared" si="13"/>
        <v>90.2</v>
      </c>
      <c r="AS39" s="630">
        <v>907</v>
      </c>
      <c r="AT39" s="590">
        <v>788</v>
      </c>
      <c r="AU39" s="581">
        <f t="shared" si="14"/>
        <v>86.9</v>
      </c>
      <c r="AV39" s="591">
        <v>793</v>
      </c>
      <c r="AW39" s="581">
        <f t="shared" si="15"/>
        <v>87.4</v>
      </c>
      <c r="AX39" s="589">
        <v>754</v>
      </c>
      <c r="AY39" s="592">
        <f t="shared" si="16"/>
        <v>83.1</v>
      </c>
      <c r="AZ39" s="589">
        <v>343</v>
      </c>
      <c r="BA39" s="583">
        <v>776</v>
      </c>
      <c r="BB39" s="588">
        <v>566</v>
      </c>
    </row>
    <row r="40" spans="1:54" ht="17.100000000000001" customHeight="1" x14ac:dyDescent="0.2">
      <c r="A40" s="631" t="s">
        <v>277</v>
      </c>
      <c r="B40" s="593" t="s">
        <v>35</v>
      </c>
      <c r="C40" s="925">
        <v>34491</v>
      </c>
      <c r="D40" s="580">
        <v>32981</v>
      </c>
      <c r="E40" s="581">
        <f t="shared" si="0"/>
        <v>95.6</v>
      </c>
      <c r="F40" s="582">
        <v>29621</v>
      </c>
      <c r="G40" s="581">
        <f t="shared" si="1"/>
        <v>85.9</v>
      </c>
      <c r="H40" s="583">
        <v>33071</v>
      </c>
      <c r="I40" s="581">
        <f t="shared" si="2"/>
        <v>95.9</v>
      </c>
      <c r="J40" s="583">
        <v>33510</v>
      </c>
      <c r="K40" s="581">
        <f t="shared" si="3"/>
        <v>97.2</v>
      </c>
      <c r="L40" s="580">
        <v>33418</v>
      </c>
      <c r="M40" s="581">
        <f t="shared" si="4"/>
        <v>96.9</v>
      </c>
      <c r="N40" s="584">
        <v>33192</v>
      </c>
      <c r="O40" s="581">
        <f t="shared" si="5"/>
        <v>96.2</v>
      </c>
      <c r="P40" s="580">
        <v>29303</v>
      </c>
      <c r="Q40" s="581">
        <f t="shared" si="18"/>
        <v>85</v>
      </c>
      <c r="R40" s="583">
        <v>32645</v>
      </c>
      <c r="S40" s="581">
        <f t="shared" si="6"/>
        <v>94.6</v>
      </c>
      <c r="T40" s="585">
        <v>23074</v>
      </c>
      <c r="U40" s="581">
        <f t="shared" si="19"/>
        <v>89.2</v>
      </c>
      <c r="V40" s="585">
        <v>17565</v>
      </c>
      <c r="W40" s="592">
        <f t="shared" si="21"/>
        <v>67.900000000000006</v>
      </c>
      <c r="X40" s="935">
        <v>34952</v>
      </c>
      <c r="Y40" s="586">
        <v>32944</v>
      </c>
      <c r="Z40" s="581">
        <f t="shared" si="7"/>
        <v>94.3</v>
      </c>
      <c r="AA40" s="580">
        <v>32850</v>
      </c>
      <c r="AB40" s="581">
        <f t="shared" si="8"/>
        <v>94</v>
      </c>
      <c r="AC40" s="582">
        <v>29422</v>
      </c>
      <c r="AD40" s="581">
        <f t="shared" si="9"/>
        <v>85.3</v>
      </c>
      <c r="AE40" s="583">
        <v>32728</v>
      </c>
      <c r="AF40" s="581">
        <f t="shared" si="10"/>
        <v>94.9</v>
      </c>
      <c r="AG40" s="583">
        <v>31544</v>
      </c>
      <c r="AH40" s="581">
        <f t="shared" si="11"/>
        <v>90.2</v>
      </c>
      <c r="AI40" s="583">
        <v>1311</v>
      </c>
      <c r="AJ40" s="587">
        <f t="shared" si="20"/>
        <v>3.7508583199816892</v>
      </c>
      <c r="AK40" s="583">
        <v>311</v>
      </c>
      <c r="AL40" s="588">
        <v>1067</v>
      </c>
      <c r="AM40" s="589">
        <v>31862</v>
      </c>
      <c r="AN40" s="581">
        <f t="shared" si="17"/>
        <v>91.2</v>
      </c>
      <c r="AO40" s="582">
        <v>28202</v>
      </c>
      <c r="AP40" s="581">
        <f t="shared" si="12"/>
        <v>80.7</v>
      </c>
      <c r="AQ40" s="582">
        <v>28211</v>
      </c>
      <c r="AR40" s="581">
        <f t="shared" si="13"/>
        <v>80.7</v>
      </c>
      <c r="AS40" s="630">
        <v>32792</v>
      </c>
      <c r="AT40" s="590">
        <v>26485</v>
      </c>
      <c r="AU40" s="581">
        <f t="shared" si="14"/>
        <v>80.8</v>
      </c>
      <c r="AV40" s="591">
        <v>26595</v>
      </c>
      <c r="AW40" s="581">
        <f t="shared" si="15"/>
        <v>81.099999999999994</v>
      </c>
      <c r="AX40" s="589">
        <v>23999</v>
      </c>
      <c r="AY40" s="592">
        <f t="shared" si="16"/>
        <v>73.2</v>
      </c>
      <c r="AZ40" s="589">
        <v>17574</v>
      </c>
      <c r="BA40" s="583">
        <v>51059</v>
      </c>
      <c r="BB40" s="588">
        <v>19238</v>
      </c>
    </row>
    <row r="41" spans="1:54" ht="17.100000000000001" customHeight="1" x14ac:dyDescent="0.2">
      <c r="A41" s="631" t="s">
        <v>280</v>
      </c>
      <c r="B41" s="593" t="s">
        <v>36</v>
      </c>
      <c r="C41" s="925">
        <v>17507</v>
      </c>
      <c r="D41" s="580">
        <v>14351</v>
      </c>
      <c r="E41" s="581">
        <f t="shared" si="0"/>
        <v>82</v>
      </c>
      <c r="F41" s="582">
        <v>14899</v>
      </c>
      <c r="G41" s="581">
        <f t="shared" si="1"/>
        <v>85.1</v>
      </c>
      <c r="H41" s="583">
        <v>14732</v>
      </c>
      <c r="I41" s="581">
        <f t="shared" si="2"/>
        <v>84.1</v>
      </c>
      <c r="J41" s="583">
        <v>14346</v>
      </c>
      <c r="K41" s="581">
        <f t="shared" si="3"/>
        <v>81.900000000000006</v>
      </c>
      <c r="L41" s="580">
        <v>14872</v>
      </c>
      <c r="M41" s="581">
        <f t="shared" si="4"/>
        <v>84.9</v>
      </c>
      <c r="N41" s="584">
        <v>14489</v>
      </c>
      <c r="O41" s="581">
        <f t="shared" si="5"/>
        <v>82.8</v>
      </c>
      <c r="P41" s="580">
        <v>14660</v>
      </c>
      <c r="Q41" s="581">
        <f t="shared" si="18"/>
        <v>83.7</v>
      </c>
      <c r="R41" s="583">
        <v>14482</v>
      </c>
      <c r="S41" s="581">
        <f t="shared" si="6"/>
        <v>82.7</v>
      </c>
      <c r="T41" s="585">
        <v>11244</v>
      </c>
      <c r="U41" s="581">
        <f t="shared" si="19"/>
        <v>85.6</v>
      </c>
      <c r="V41" s="585">
        <v>10062</v>
      </c>
      <c r="W41" s="592">
        <f t="shared" si="21"/>
        <v>76.599999999999994</v>
      </c>
      <c r="X41" s="935">
        <v>17470</v>
      </c>
      <c r="Y41" s="586">
        <v>14855</v>
      </c>
      <c r="Z41" s="581">
        <f t="shared" si="7"/>
        <v>85</v>
      </c>
      <c r="AA41" s="580">
        <v>14946</v>
      </c>
      <c r="AB41" s="581">
        <f t="shared" si="8"/>
        <v>85.6</v>
      </c>
      <c r="AC41" s="582">
        <v>14956</v>
      </c>
      <c r="AD41" s="581">
        <f t="shared" si="9"/>
        <v>85.4</v>
      </c>
      <c r="AE41" s="583">
        <v>14783</v>
      </c>
      <c r="AF41" s="581">
        <f t="shared" si="10"/>
        <v>84.4</v>
      </c>
      <c r="AG41" s="583">
        <v>14818</v>
      </c>
      <c r="AH41" s="581">
        <f t="shared" si="11"/>
        <v>84.8</v>
      </c>
      <c r="AI41" s="583">
        <v>183</v>
      </c>
      <c r="AJ41" s="587">
        <f t="shared" si="20"/>
        <v>1.0475100171722953</v>
      </c>
      <c r="AK41" s="583">
        <v>68</v>
      </c>
      <c r="AL41" s="588">
        <v>47</v>
      </c>
      <c r="AM41" s="589">
        <v>14867</v>
      </c>
      <c r="AN41" s="581">
        <f t="shared" si="17"/>
        <v>85.1</v>
      </c>
      <c r="AO41" s="582">
        <v>15480</v>
      </c>
      <c r="AP41" s="581">
        <f t="shared" si="12"/>
        <v>88.6</v>
      </c>
      <c r="AQ41" s="582">
        <v>15434</v>
      </c>
      <c r="AR41" s="581">
        <f t="shared" si="13"/>
        <v>88.3</v>
      </c>
      <c r="AS41" s="630">
        <v>17392</v>
      </c>
      <c r="AT41" s="590">
        <v>15588</v>
      </c>
      <c r="AU41" s="581">
        <f t="shared" si="14"/>
        <v>89.6</v>
      </c>
      <c r="AV41" s="591">
        <v>15577</v>
      </c>
      <c r="AW41" s="581">
        <f t="shared" si="15"/>
        <v>89.6</v>
      </c>
      <c r="AX41" s="589">
        <v>15332</v>
      </c>
      <c r="AY41" s="592">
        <f t="shared" si="16"/>
        <v>88.2</v>
      </c>
      <c r="AZ41" s="589">
        <v>4368</v>
      </c>
      <c r="BA41" s="583">
        <v>24821</v>
      </c>
      <c r="BB41" s="588">
        <v>11714</v>
      </c>
    </row>
    <row r="42" spans="1:54" ht="17.100000000000001" customHeight="1" x14ac:dyDescent="0.2">
      <c r="A42" s="631" t="s">
        <v>281</v>
      </c>
      <c r="B42" s="593" t="s">
        <v>37</v>
      </c>
      <c r="C42" s="925">
        <v>21312</v>
      </c>
      <c r="D42" s="580">
        <v>18103</v>
      </c>
      <c r="E42" s="581">
        <f t="shared" si="0"/>
        <v>84.9</v>
      </c>
      <c r="F42" s="582">
        <v>18631</v>
      </c>
      <c r="G42" s="581">
        <f t="shared" si="1"/>
        <v>87.4</v>
      </c>
      <c r="H42" s="583">
        <v>18343</v>
      </c>
      <c r="I42" s="581">
        <f t="shared" si="2"/>
        <v>86.1</v>
      </c>
      <c r="J42" s="583">
        <v>18112</v>
      </c>
      <c r="K42" s="581">
        <f t="shared" si="3"/>
        <v>85</v>
      </c>
      <c r="L42" s="580">
        <v>16983</v>
      </c>
      <c r="M42" s="581">
        <f t="shared" si="4"/>
        <v>79.7</v>
      </c>
      <c r="N42" s="584">
        <v>16577</v>
      </c>
      <c r="O42" s="581">
        <f t="shared" si="5"/>
        <v>77.8</v>
      </c>
      <c r="P42" s="580">
        <v>18319</v>
      </c>
      <c r="Q42" s="581">
        <f t="shared" si="18"/>
        <v>86</v>
      </c>
      <c r="R42" s="583">
        <v>18097</v>
      </c>
      <c r="S42" s="581">
        <f t="shared" si="6"/>
        <v>84.9</v>
      </c>
      <c r="T42" s="585">
        <v>15915</v>
      </c>
      <c r="U42" s="581">
        <f t="shared" si="19"/>
        <v>99.6</v>
      </c>
      <c r="V42" s="585">
        <v>11861</v>
      </c>
      <c r="W42" s="592">
        <f t="shared" si="21"/>
        <v>74.2</v>
      </c>
      <c r="X42" s="935">
        <v>21404</v>
      </c>
      <c r="Y42" s="586">
        <v>18473</v>
      </c>
      <c r="Z42" s="581">
        <f t="shared" si="7"/>
        <v>86.3</v>
      </c>
      <c r="AA42" s="580">
        <v>18514</v>
      </c>
      <c r="AB42" s="581">
        <f t="shared" si="8"/>
        <v>86.5</v>
      </c>
      <c r="AC42" s="582">
        <v>18576</v>
      </c>
      <c r="AD42" s="581">
        <f t="shared" si="9"/>
        <v>87.2</v>
      </c>
      <c r="AE42" s="583">
        <v>18345</v>
      </c>
      <c r="AF42" s="581">
        <f t="shared" si="10"/>
        <v>86.1</v>
      </c>
      <c r="AG42" s="583">
        <v>18443</v>
      </c>
      <c r="AH42" s="581">
        <f t="shared" si="11"/>
        <v>86.2</v>
      </c>
      <c r="AI42" s="583">
        <v>90</v>
      </c>
      <c r="AJ42" s="587">
        <f t="shared" si="20"/>
        <v>0.42048215286862267</v>
      </c>
      <c r="AK42" s="583">
        <v>80</v>
      </c>
      <c r="AL42" s="588">
        <v>907</v>
      </c>
      <c r="AM42" s="589">
        <v>17803</v>
      </c>
      <c r="AN42" s="581">
        <f t="shared" si="17"/>
        <v>83.2</v>
      </c>
      <c r="AO42" s="582">
        <v>19521</v>
      </c>
      <c r="AP42" s="581">
        <f t="shared" si="12"/>
        <v>91.2</v>
      </c>
      <c r="AQ42" s="582">
        <v>19535</v>
      </c>
      <c r="AR42" s="581">
        <f t="shared" si="13"/>
        <v>91.3</v>
      </c>
      <c r="AS42" s="630">
        <v>21419</v>
      </c>
      <c r="AT42" s="590">
        <v>19547</v>
      </c>
      <c r="AU42" s="581">
        <f t="shared" si="14"/>
        <v>91.3</v>
      </c>
      <c r="AV42" s="591">
        <v>19574</v>
      </c>
      <c r="AW42" s="581">
        <f t="shared" si="15"/>
        <v>91.4</v>
      </c>
      <c r="AX42" s="589">
        <v>19168</v>
      </c>
      <c r="AY42" s="592">
        <f t="shared" si="16"/>
        <v>89.5</v>
      </c>
      <c r="AZ42" s="589">
        <v>11884</v>
      </c>
      <c r="BA42" s="583">
        <v>28796</v>
      </c>
      <c r="BB42" s="588">
        <v>3740</v>
      </c>
    </row>
    <row r="43" spans="1:54" ht="17.100000000000001" customHeight="1" x14ac:dyDescent="0.2">
      <c r="A43" s="636" t="s">
        <v>282</v>
      </c>
      <c r="B43" s="595" t="s">
        <v>38</v>
      </c>
      <c r="C43" s="925">
        <v>61503</v>
      </c>
      <c r="D43" s="580">
        <v>58570</v>
      </c>
      <c r="E43" s="581">
        <f t="shared" si="0"/>
        <v>95.2</v>
      </c>
      <c r="F43" s="582">
        <v>58711</v>
      </c>
      <c r="G43" s="581">
        <f t="shared" si="1"/>
        <v>95.5</v>
      </c>
      <c r="H43" s="583">
        <v>58698</v>
      </c>
      <c r="I43" s="581">
        <f t="shared" si="2"/>
        <v>95.4</v>
      </c>
      <c r="J43" s="583">
        <v>58694</v>
      </c>
      <c r="K43" s="581">
        <f t="shared" si="3"/>
        <v>95.4</v>
      </c>
      <c r="L43" s="580">
        <v>52167</v>
      </c>
      <c r="M43" s="581">
        <f t="shared" si="4"/>
        <v>84.8</v>
      </c>
      <c r="N43" s="584">
        <v>51592</v>
      </c>
      <c r="O43" s="581">
        <f t="shared" si="5"/>
        <v>83.9</v>
      </c>
      <c r="P43" s="580">
        <v>58131</v>
      </c>
      <c r="Q43" s="581">
        <f t="shared" si="18"/>
        <v>94.5</v>
      </c>
      <c r="R43" s="583">
        <v>58197</v>
      </c>
      <c r="S43" s="581">
        <f t="shared" si="6"/>
        <v>94.6</v>
      </c>
      <c r="T43" s="585">
        <v>44137</v>
      </c>
      <c r="U43" s="581">
        <f t="shared" si="19"/>
        <v>95.7</v>
      </c>
      <c r="V43" s="585">
        <v>39582</v>
      </c>
      <c r="W43" s="592">
        <f t="shared" si="21"/>
        <v>85.8</v>
      </c>
      <c r="X43" s="935">
        <v>59421</v>
      </c>
      <c r="Y43" s="586">
        <v>57359</v>
      </c>
      <c r="Z43" s="581">
        <f t="shared" si="7"/>
        <v>96.5</v>
      </c>
      <c r="AA43" s="580">
        <v>57586</v>
      </c>
      <c r="AB43" s="581">
        <f t="shared" si="8"/>
        <v>96.9</v>
      </c>
      <c r="AC43" s="582">
        <v>58282</v>
      </c>
      <c r="AD43" s="581">
        <f t="shared" si="9"/>
        <v>94.8</v>
      </c>
      <c r="AE43" s="583">
        <v>56879</v>
      </c>
      <c r="AF43" s="581">
        <f t="shared" si="10"/>
        <v>92.5</v>
      </c>
      <c r="AG43" s="583">
        <v>47465</v>
      </c>
      <c r="AH43" s="581">
        <f t="shared" si="11"/>
        <v>79.900000000000006</v>
      </c>
      <c r="AI43" s="583">
        <v>2683</v>
      </c>
      <c r="AJ43" s="587">
        <f t="shared" si="20"/>
        <v>4.5152387203177335</v>
      </c>
      <c r="AK43" s="583">
        <v>2685</v>
      </c>
      <c r="AL43" s="588">
        <v>1360</v>
      </c>
      <c r="AM43" s="589">
        <v>57299</v>
      </c>
      <c r="AN43" s="581">
        <f t="shared" si="17"/>
        <v>96.4</v>
      </c>
      <c r="AO43" s="582">
        <v>57463</v>
      </c>
      <c r="AP43" s="581">
        <f t="shared" si="12"/>
        <v>96.7</v>
      </c>
      <c r="AQ43" s="582">
        <v>58010</v>
      </c>
      <c r="AR43" s="581">
        <f t="shared" si="13"/>
        <v>97.6</v>
      </c>
      <c r="AS43" s="630">
        <v>60801</v>
      </c>
      <c r="AT43" s="590">
        <v>57725</v>
      </c>
      <c r="AU43" s="581">
        <f t="shared" si="14"/>
        <v>94.9</v>
      </c>
      <c r="AV43" s="591">
        <v>49109</v>
      </c>
      <c r="AW43" s="581">
        <f t="shared" si="15"/>
        <v>80.8</v>
      </c>
      <c r="AX43" s="589">
        <v>52446</v>
      </c>
      <c r="AY43" s="592">
        <f t="shared" si="16"/>
        <v>86.3</v>
      </c>
      <c r="AZ43" s="589">
        <v>29804</v>
      </c>
      <c r="BA43" s="583">
        <v>84366</v>
      </c>
      <c r="BB43" s="588">
        <v>50612</v>
      </c>
    </row>
    <row r="44" spans="1:54" ht="17.100000000000001" customHeight="1" x14ac:dyDescent="0.2">
      <c r="A44" s="923" t="s">
        <v>332</v>
      </c>
      <c r="B44" s="297" t="s">
        <v>331</v>
      </c>
      <c r="C44" s="925">
        <v>6522</v>
      </c>
      <c r="D44" s="580">
        <v>5366</v>
      </c>
      <c r="E44" s="581">
        <f t="shared" si="0"/>
        <v>82.3</v>
      </c>
      <c r="F44" s="582">
        <v>5633</v>
      </c>
      <c r="G44" s="581">
        <f t="shared" si="1"/>
        <v>86.4</v>
      </c>
      <c r="H44" s="583">
        <v>5440</v>
      </c>
      <c r="I44" s="581">
        <f t="shared" si="2"/>
        <v>83.4</v>
      </c>
      <c r="J44" s="583">
        <v>5477</v>
      </c>
      <c r="K44" s="581">
        <f t="shared" si="3"/>
        <v>84</v>
      </c>
      <c r="L44" s="580">
        <v>5505</v>
      </c>
      <c r="M44" s="581">
        <f t="shared" si="4"/>
        <v>84.4</v>
      </c>
      <c r="N44" s="584">
        <v>5113</v>
      </c>
      <c r="O44" s="581">
        <f t="shared" si="5"/>
        <v>78.400000000000006</v>
      </c>
      <c r="P44" s="580">
        <v>5099</v>
      </c>
      <c r="Q44" s="581">
        <f t="shared" si="18"/>
        <v>78.2</v>
      </c>
      <c r="R44" s="583">
        <v>5026</v>
      </c>
      <c r="S44" s="581">
        <f t="shared" si="6"/>
        <v>77.099999999999994</v>
      </c>
      <c r="T44" s="585">
        <v>4470</v>
      </c>
      <c r="U44" s="581">
        <f t="shared" si="19"/>
        <v>91.4</v>
      </c>
      <c r="V44" s="585">
        <v>2339</v>
      </c>
      <c r="W44" s="592">
        <f t="shared" si="21"/>
        <v>47.8</v>
      </c>
      <c r="X44" s="935">
        <v>6369</v>
      </c>
      <c r="Y44" s="586">
        <v>5602</v>
      </c>
      <c r="Z44" s="581">
        <f t="shared" si="7"/>
        <v>88</v>
      </c>
      <c r="AA44" s="580">
        <v>5647</v>
      </c>
      <c r="AB44" s="581">
        <f t="shared" si="8"/>
        <v>88.7</v>
      </c>
      <c r="AC44" s="582">
        <v>5606</v>
      </c>
      <c r="AD44" s="581">
        <f t="shared" si="9"/>
        <v>86</v>
      </c>
      <c r="AE44" s="583">
        <v>5390</v>
      </c>
      <c r="AF44" s="581">
        <f t="shared" si="10"/>
        <v>82.6</v>
      </c>
      <c r="AG44" s="583">
        <v>5384</v>
      </c>
      <c r="AH44" s="581">
        <f t="shared" si="11"/>
        <v>84.5</v>
      </c>
      <c r="AI44" s="583">
        <v>560</v>
      </c>
      <c r="AJ44" s="587">
        <f t="shared" si="20"/>
        <v>8.7925891034699326</v>
      </c>
      <c r="AK44" s="583">
        <v>607</v>
      </c>
      <c r="AL44" s="588">
        <v>1424</v>
      </c>
      <c r="AM44" s="589">
        <v>5691</v>
      </c>
      <c r="AN44" s="581">
        <f t="shared" si="17"/>
        <v>89.4</v>
      </c>
      <c r="AO44" s="582">
        <v>5243</v>
      </c>
      <c r="AP44" s="581">
        <f t="shared" si="12"/>
        <v>82.3</v>
      </c>
      <c r="AQ44" s="582">
        <v>5232</v>
      </c>
      <c r="AR44" s="581">
        <f t="shared" si="13"/>
        <v>82.1</v>
      </c>
      <c r="AS44" s="630">
        <v>7424</v>
      </c>
      <c r="AT44" s="590">
        <v>5264</v>
      </c>
      <c r="AU44" s="581">
        <f t="shared" si="14"/>
        <v>70.900000000000006</v>
      </c>
      <c r="AV44" s="591">
        <v>5271</v>
      </c>
      <c r="AW44" s="581">
        <f t="shared" si="15"/>
        <v>71</v>
      </c>
      <c r="AX44" s="589">
        <v>5097</v>
      </c>
      <c r="AY44" s="592">
        <f t="shared" si="16"/>
        <v>68.7</v>
      </c>
      <c r="AZ44" s="589">
        <v>1353</v>
      </c>
      <c r="BA44" s="583">
        <v>3641</v>
      </c>
      <c r="BB44" s="588">
        <v>2905</v>
      </c>
    </row>
    <row r="45" spans="1:54" ht="17.100000000000001" customHeight="1" x14ac:dyDescent="0.2">
      <c r="A45" s="636" t="s">
        <v>283</v>
      </c>
      <c r="B45" s="595" t="s">
        <v>128</v>
      </c>
      <c r="C45" s="925">
        <v>902</v>
      </c>
      <c r="D45" s="580">
        <v>832</v>
      </c>
      <c r="E45" s="581">
        <f>ROUND(D45/$C45*100,1)</f>
        <v>92.2</v>
      </c>
      <c r="F45" s="582">
        <v>895</v>
      </c>
      <c r="G45" s="581">
        <f t="shared" si="1"/>
        <v>99.2</v>
      </c>
      <c r="H45" s="583">
        <v>877</v>
      </c>
      <c r="I45" s="581">
        <f t="shared" si="2"/>
        <v>97.2</v>
      </c>
      <c r="J45" s="583">
        <v>839</v>
      </c>
      <c r="K45" s="581">
        <f t="shared" si="3"/>
        <v>93</v>
      </c>
      <c r="L45" s="580">
        <v>898</v>
      </c>
      <c r="M45" s="581">
        <f t="shared" si="4"/>
        <v>99.6</v>
      </c>
      <c r="N45" s="584">
        <v>624</v>
      </c>
      <c r="O45" s="581">
        <f t="shared" si="5"/>
        <v>69.2</v>
      </c>
      <c r="P45" s="580">
        <v>825</v>
      </c>
      <c r="Q45" s="581">
        <f t="shared" si="18"/>
        <v>91.5</v>
      </c>
      <c r="R45" s="583">
        <v>795</v>
      </c>
      <c r="S45" s="581">
        <f t="shared" si="6"/>
        <v>88.1</v>
      </c>
      <c r="T45" s="585">
        <v>469</v>
      </c>
      <c r="U45" s="581">
        <f t="shared" si="19"/>
        <v>69.3</v>
      </c>
      <c r="V45" s="585">
        <v>275</v>
      </c>
      <c r="W45" s="592">
        <f t="shared" si="21"/>
        <v>40.700000000000003</v>
      </c>
      <c r="X45" s="935">
        <v>881</v>
      </c>
      <c r="Y45" s="586">
        <v>890</v>
      </c>
      <c r="Z45" s="581">
        <f t="shared" si="7"/>
        <v>101</v>
      </c>
      <c r="AA45" s="580">
        <v>895</v>
      </c>
      <c r="AB45" s="581">
        <f t="shared" si="8"/>
        <v>101.6</v>
      </c>
      <c r="AC45" s="582">
        <v>868</v>
      </c>
      <c r="AD45" s="581">
        <f t="shared" si="9"/>
        <v>96.2</v>
      </c>
      <c r="AE45" s="583">
        <v>833</v>
      </c>
      <c r="AF45" s="581">
        <f t="shared" si="10"/>
        <v>92.4</v>
      </c>
      <c r="AG45" s="583">
        <v>835</v>
      </c>
      <c r="AH45" s="581">
        <f t="shared" si="11"/>
        <v>94.8</v>
      </c>
      <c r="AI45" s="583">
        <v>25</v>
      </c>
      <c r="AJ45" s="587">
        <f t="shared" si="20"/>
        <v>2.8376844494892168</v>
      </c>
      <c r="AK45" s="583">
        <v>42</v>
      </c>
      <c r="AL45" s="588">
        <v>476</v>
      </c>
      <c r="AM45" s="589">
        <v>913</v>
      </c>
      <c r="AN45" s="581">
        <f t="shared" si="17"/>
        <v>103.6</v>
      </c>
      <c r="AO45" s="582">
        <v>913</v>
      </c>
      <c r="AP45" s="581">
        <f t="shared" si="12"/>
        <v>103.6</v>
      </c>
      <c r="AQ45" s="582">
        <v>903</v>
      </c>
      <c r="AR45" s="581">
        <f t="shared" si="13"/>
        <v>102.5</v>
      </c>
      <c r="AS45" s="630">
        <v>882</v>
      </c>
      <c r="AT45" s="590">
        <v>773</v>
      </c>
      <c r="AU45" s="581">
        <f t="shared" si="14"/>
        <v>87.6</v>
      </c>
      <c r="AV45" s="591">
        <v>769</v>
      </c>
      <c r="AW45" s="581">
        <f t="shared" si="15"/>
        <v>87.2</v>
      </c>
      <c r="AX45" s="589">
        <v>624</v>
      </c>
      <c r="AY45" s="592">
        <f t="shared" si="16"/>
        <v>70.7</v>
      </c>
      <c r="AZ45" s="589">
        <v>179</v>
      </c>
      <c r="BA45" s="583">
        <v>707</v>
      </c>
      <c r="BB45" s="588">
        <v>252</v>
      </c>
    </row>
    <row r="46" spans="1:54" ht="17.100000000000001" customHeight="1" thickBot="1" x14ac:dyDescent="0.25">
      <c r="A46" s="639" t="s">
        <v>284</v>
      </c>
      <c r="B46" s="599" t="s">
        <v>40</v>
      </c>
      <c r="C46" s="926">
        <v>1721</v>
      </c>
      <c r="D46" s="600">
        <v>1286</v>
      </c>
      <c r="E46" s="601">
        <f t="shared" si="0"/>
        <v>74.7</v>
      </c>
      <c r="F46" s="602">
        <v>1894</v>
      </c>
      <c r="G46" s="601">
        <f t="shared" si="1"/>
        <v>110.1</v>
      </c>
      <c r="H46" s="603">
        <v>1632</v>
      </c>
      <c r="I46" s="601">
        <f t="shared" si="2"/>
        <v>94.8</v>
      </c>
      <c r="J46" s="603">
        <v>1292</v>
      </c>
      <c r="K46" s="601">
        <f t="shared" si="3"/>
        <v>75.099999999999994</v>
      </c>
      <c r="L46" s="600">
        <v>1567</v>
      </c>
      <c r="M46" s="601">
        <f t="shared" si="4"/>
        <v>91.1</v>
      </c>
      <c r="N46" s="604">
        <v>883</v>
      </c>
      <c r="O46" s="601">
        <f t="shared" si="5"/>
        <v>51.3</v>
      </c>
      <c r="P46" s="600">
        <v>1363</v>
      </c>
      <c r="Q46" s="605">
        <f t="shared" si="18"/>
        <v>79.2</v>
      </c>
      <c r="R46" s="603">
        <v>1281</v>
      </c>
      <c r="S46" s="601">
        <f t="shared" si="6"/>
        <v>74.400000000000006</v>
      </c>
      <c r="T46" s="606">
        <v>1121</v>
      </c>
      <c r="U46" s="581">
        <f t="shared" si="19"/>
        <v>86.8</v>
      </c>
      <c r="V46" s="606">
        <v>584</v>
      </c>
      <c r="W46" s="592">
        <f t="shared" si="21"/>
        <v>45.2</v>
      </c>
      <c r="X46" s="937">
        <v>1742</v>
      </c>
      <c r="Y46" s="607">
        <v>1803</v>
      </c>
      <c r="Z46" s="601">
        <f t="shared" si="7"/>
        <v>103.5</v>
      </c>
      <c r="AA46" s="600">
        <v>1780</v>
      </c>
      <c r="AB46" s="601">
        <f t="shared" si="8"/>
        <v>102.2</v>
      </c>
      <c r="AC46" s="602">
        <v>1880</v>
      </c>
      <c r="AD46" s="601">
        <f t="shared" si="9"/>
        <v>109.2</v>
      </c>
      <c r="AE46" s="603">
        <v>1633</v>
      </c>
      <c r="AF46" s="601">
        <f t="shared" si="10"/>
        <v>94.9</v>
      </c>
      <c r="AG46" s="603">
        <v>1548</v>
      </c>
      <c r="AH46" s="601">
        <f t="shared" si="11"/>
        <v>88.9</v>
      </c>
      <c r="AI46" s="603">
        <v>186</v>
      </c>
      <c r="AJ46" s="608">
        <f t="shared" si="20"/>
        <v>10.677382319173363</v>
      </c>
      <c r="AK46" s="603">
        <v>233</v>
      </c>
      <c r="AL46" s="609">
        <v>138</v>
      </c>
      <c r="AM46" s="610">
        <v>1763</v>
      </c>
      <c r="AN46" s="601">
        <f t="shared" si="17"/>
        <v>101.2</v>
      </c>
      <c r="AO46" s="602">
        <v>1660</v>
      </c>
      <c r="AP46" s="601">
        <f t="shared" si="12"/>
        <v>95.3</v>
      </c>
      <c r="AQ46" s="602">
        <v>1651</v>
      </c>
      <c r="AR46" s="601">
        <f t="shared" si="13"/>
        <v>94.8</v>
      </c>
      <c r="AS46" s="642">
        <v>1590</v>
      </c>
      <c r="AT46" s="611">
        <v>1150</v>
      </c>
      <c r="AU46" s="601">
        <f t="shared" si="14"/>
        <v>72.3</v>
      </c>
      <c r="AV46" s="612">
        <v>1137</v>
      </c>
      <c r="AW46" s="601">
        <f t="shared" si="15"/>
        <v>71.5</v>
      </c>
      <c r="AX46" s="610">
        <v>1157</v>
      </c>
      <c r="AY46" s="613">
        <f t="shared" si="16"/>
        <v>72.8</v>
      </c>
      <c r="AZ46" s="707">
        <v>358</v>
      </c>
      <c r="BA46" s="708">
        <v>933</v>
      </c>
      <c r="BB46" s="709">
        <v>30</v>
      </c>
    </row>
    <row r="47" spans="1:54" ht="20.100000000000001" customHeight="1" thickBot="1" x14ac:dyDescent="0.25">
      <c r="A47" s="643"/>
      <c r="B47" s="643" t="s">
        <v>41</v>
      </c>
      <c r="C47" s="644">
        <f>SUM(C10:C46)</f>
        <v>771523</v>
      </c>
      <c r="D47" s="645">
        <f>SUM(D10:D46)</f>
        <v>694266</v>
      </c>
      <c r="E47" s="615">
        <f t="shared" si="0"/>
        <v>90</v>
      </c>
      <c r="F47" s="646">
        <f>SUM(F10:F46)</f>
        <v>704746</v>
      </c>
      <c r="G47" s="615">
        <f t="shared" si="1"/>
        <v>91.3</v>
      </c>
      <c r="H47" s="646">
        <f>SUM(H10:H46)</f>
        <v>698135</v>
      </c>
      <c r="I47" s="615">
        <f t="shared" si="2"/>
        <v>90.5</v>
      </c>
      <c r="J47" s="646">
        <f>SUM(J10:J46)</f>
        <v>696363</v>
      </c>
      <c r="K47" s="615">
        <f t="shared" si="3"/>
        <v>90.3</v>
      </c>
      <c r="L47" s="646">
        <f>SUM(L10:L46)</f>
        <v>684650</v>
      </c>
      <c r="M47" s="615">
        <f t="shared" si="4"/>
        <v>88.7</v>
      </c>
      <c r="N47" s="646">
        <f>SUM(N10:N46)</f>
        <v>660237</v>
      </c>
      <c r="O47" s="615">
        <f t="shared" si="5"/>
        <v>85.6</v>
      </c>
      <c r="P47" s="647">
        <f>SUM(P10:P46)</f>
        <v>684396</v>
      </c>
      <c r="Q47" s="614">
        <f t="shared" si="18"/>
        <v>88.7</v>
      </c>
      <c r="R47" s="646">
        <f>SUM(R10:R46)</f>
        <v>683249</v>
      </c>
      <c r="S47" s="615">
        <f t="shared" si="6"/>
        <v>88.6</v>
      </c>
      <c r="T47" s="646">
        <f>SUM(T10:T46)</f>
        <v>541764</v>
      </c>
      <c r="U47" s="648">
        <f>ROUND(T47/($C47/12*9)*100,1)</f>
        <v>93.6</v>
      </c>
      <c r="V47" s="646">
        <f>SUM(V10:V46)</f>
        <v>392658</v>
      </c>
      <c r="W47" s="587">
        <f t="shared" si="21"/>
        <v>67.900000000000006</v>
      </c>
      <c r="X47" s="649">
        <f>SUM(X10:X46)</f>
        <v>775670</v>
      </c>
      <c r="Y47" s="645">
        <f>SUM(Y10:Y46)</f>
        <v>707886</v>
      </c>
      <c r="Z47" s="615">
        <f t="shared" si="7"/>
        <v>91.3</v>
      </c>
      <c r="AA47" s="645">
        <f>SUM(AA10:AA46)</f>
        <v>711845</v>
      </c>
      <c r="AB47" s="615">
        <f t="shared" si="8"/>
        <v>91.8</v>
      </c>
      <c r="AC47" s="647">
        <f>SUM(AC10:AC46)</f>
        <v>700601</v>
      </c>
      <c r="AD47" s="615">
        <f t="shared" si="9"/>
        <v>90.8</v>
      </c>
      <c r="AE47" s="646">
        <f>SUM(AE10:AE46)</f>
        <v>697514</v>
      </c>
      <c r="AF47" s="615">
        <f t="shared" si="10"/>
        <v>90.4</v>
      </c>
      <c r="AG47" s="646">
        <f>SUM(AG10:AG46)</f>
        <v>689035</v>
      </c>
      <c r="AH47" s="615">
        <f t="shared" si="11"/>
        <v>88.8</v>
      </c>
      <c r="AI47" s="646">
        <f>SUM(AI10:AI46)</f>
        <v>11577</v>
      </c>
      <c r="AJ47" s="615">
        <f t="shared" si="20"/>
        <v>1.4925161473306947</v>
      </c>
      <c r="AK47" s="646">
        <f>SUM(AK10:AK46)</f>
        <v>10132</v>
      </c>
      <c r="AL47" s="650">
        <f>SUM(AL10:AL46)</f>
        <v>35223</v>
      </c>
      <c r="AM47" s="646">
        <f>SUM(AM10:AM46)</f>
        <v>726758</v>
      </c>
      <c r="AN47" s="615">
        <f t="shared" si="17"/>
        <v>93.7</v>
      </c>
      <c r="AO47" s="651">
        <f>SUM(AO10:AO46)</f>
        <v>698883</v>
      </c>
      <c r="AP47" s="615">
        <f t="shared" si="12"/>
        <v>90.1</v>
      </c>
      <c r="AQ47" s="647">
        <f>SUM(AQ10:AQ46)</f>
        <v>696330</v>
      </c>
      <c r="AR47" s="615">
        <f t="shared" si="13"/>
        <v>89.8</v>
      </c>
      <c r="AS47" s="652">
        <f>SUM(AS10:AS46)</f>
        <v>774944</v>
      </c>
      <c r="AT47" s="646">
        <f>SUM(AT10:AT46)</f>
        <v>691613</v>
      </c>
      <c r="AU47" s="615">
        <f t="shared" si="14"/>
        <v>89.2</v>
      </c>
      <c r="AV47" s="646">
        <f>SUM(AV10:AV46)</f>
        <v>685784</v>
      </c>
      <c r="AW47" s="615">
        <f t="shared" si="15"/>
        <v>88.5</v>
      </c>
      <c r="AX47" s="646">
        <f>SUM(AX10:AX46)</f>
        <v>680231</v>
      </c>
      <c r="AY47" s="653">
        <f t="shared" si="16"/>
        <v>87.8</v>
      </c>
      <c r="AZ47" s="654">
        <f>SUM(AZ10:AZ46)</f>
        <v>332693</v>
      </c>
      <c r="BA47" s="655">
        <f t="shared" ref="BA47:BB47" si="22">SUM(BA10:BA46)</f>
        <v>1291876</v>
      </c>
      <c r="BB47" s="656">
        <f t="shared" si="22"/>
        <v>388348</v>
      </c>
    </row>
    <row r="48" spans="1:54" x14ac:dyDescent="0.2">
      <c r="A48" s="657"/>
      <c r="B48" s="657" t="s">
        <v>227</v>
      </c>
      <c r="E48" s="710">
        <f>E47-$B$60</f>
        <v>-5.0400000000000063</v>
      </c>
      <c r="G48" s="710">
        <f>G47-$B$60</f>
        <v>-3.7400000000000091</v>
      </c>
      <c r="I48" s="710">
        <f>I47-$B$60</f>
        <v>-4.5400000000000063</v>
      </c>
      <c r="K48" s="710">
        <f>K47-$B$60</f>
        <v>-4.7400000000000091</v>
      </c>
      <c r="M48" s="710">
        <f>M47-$B$60</f>
        <v>-6.3400000000000034</v>
      </c>
      <c r="N48" s="710"/>
      <c r="O48" s="710">
        <f>O47-$B$60</f>
        <v>-9.4400000000000119</v>
      </c>
      <c r="Q48" s="710">
        <f>Q47-$B$60</f>
        <v>-6.3400000000000034</v>
      </c>
      <c r="S48" s="710">
        <f>S47-$B$60</f>
        <v>-6.4400000000000119</v>
      </c>
      <c r="T48" s="710"/>
      <c r="U48" s="710"/>
      <c r="V48" s="710"/>
      <c r="W48" s="710">
        <f>W47-$B$60</f>
        <v>-27.14</v>
      </c>
      <c r="Z48" s="710">
        <f>Z47-$B$60</f>
        <v>-3.7400000000000091</v>
      </c>
      <c r="AB48" s="710">
        <f>AB47-$B$60</f>
        <v>-3.2400000000000091</v>
      </c>
      <c r="AD48" s="710">
        <f>AD47-$B$60</f>
        <v>-4.2400000000000091</v>
      </c>
      <c r="AF48" s="710">
        <f>AF47-$B$60</f>
        <v>-4.6400000000000006</v>
      </c>
      <c r="AH48" s="710">
        <f>AH47-$B$60</f>
        <v>-6.2400000000000091</v>
      </c>
      <c r="AJ48" s="710"/>
      <c r="AP48" s="710">
        <f>AP47-$B$60</f>
        <v>-4.9400000000000119</v>
      </c>
      <c r="AR48" s="710">
        <f>AR47-$B$60</f>
        <v>-5.2400000000000091</v>
      </c>
      <c r="AU48" s="710">
        <f>AU47-$B$60</f>
        <v>-5.8400000000000034</v>
      </c>
      <c r="AW48" s="710">
        <f>AW47-$B$60</f>
        <v>-6.5400000000000063</v>
      </c>
      <c r="AY48" s="710">
        <f>AY47-$B$60</f>
        <v>-7.2400000000000091</v>
      </c>
    </row>
    <row r="49" spans="1:8" x14ac:dyDescent="0.2">
      <c r="A49" s="657"/>
      <c r="B49" s="657" t="s">
        <v>228</v>
      </c>
      <c r="C49" s="711">
        <v>42014</v>
      </c>
      <c r="H49" s="712"/>
    </row>
    <row r="50" spans="1:8" x14ac:dyDescent="0.2">
      <c r="A50" s="657"/>
      <c r="B50" s="657" t="s">
        <v>208</v>
      </c>
      <c r="C50" s="713">
        <v>42032</v>
      </c>
    </row>
    <row r="51" spans="1:8" ht="12.75" thickBot="1" x14ac:dyDescent="0.25">
      <c r="A51" s="657"/>
      <c r="B51" s="657" t="s">
        <v>340</v>
      </c>
      <c r="C51" s="714"/>
    </row>
    <row r="52" spans="1:8" x14ac:dyDescent="0.2">
      <c r="A52" s="715"/>
      <c r="B52" s="716" t="s">
        <v>247</v>
      </c>
      <c r="C52" s="717"/>
    </row>
    <row r="53" spans="1:8" ht="15.75" x14ac:dyDescent="0.25">
      <c r="A53" s="718"/>
      <c r="B53" s="927" t="s">
        <v>334</v>
      </c>
      <c r="C53" s="720">
        <v>100</v>
      </c>
      <c r="D53" s="720"/>
      <c r="H53" s="704" t="s">
        <v>333</v>
      </c>
    </row>
    <row r="54" spans="1:8" ht="15.75" x14ac:dyDescent="0.25">
      <c r="A54" s="718"/>
      <c r="B54" s="928" t="s">
        <v>335</v>
      </c>
      <c r="C54" s="720">
        <v>95</v>
      </c>
      <c r="D54" s="720">
        <v>99.99</v>
      </c>
      <c r="E54" s="722"/>
    </row>
    <row r="55" spans="1:8" ht="15.75" x14ac:dyDescent="0.25">
      <c r="A55" s="718"/>
      <c r="B55" s="929" t="s">
        <v>336</v>
      </c>
      <c r="C55" s="720">
        <v>90</v>
      </c>
      <c r="D55" s="720">
        <v>94.99</v>
      </c>
      <c r="E55" s="722"/>
    </row>
    <row r="56" spans="1:8" ht="15.75" x14ac:dyDescent="0.25">
      <c r="A56" s="718"/>
      <c r="B56" s="930" t="s">
        <v>337</v>
      </c>
      <c r="C56" s="720">
        <v>80</v>
      </c>
      <c r="D56" s="720">
        <v>89.99</v>
      </c>
      <c r="E56" s="722"/>
    </row>
    <row r="57" spans="1:8" ht="15.75" x14ac:dyDescent="0.25">
      <c r="A57" s="718"/>
      <c r="B57" s="931" t="s">
        <v>338</v>
      </c>
      <c r="C57" s="720">
        <v>50</v>
      </c>
      <c r="D57" s="720">
        <v>79.989999999999995</v>
      </c>
      <c r="E57" s="722"/>
    </row>
    <row r="58" spans="1:8" ht="15.75" x14ac:dyDescent="0.25">
      <c r="A58" s="718"/>
      <c r="B58" s="932" t="s">
        <v>339</v>
      </c>
      <c r="C58" s="727">
        <v>0.1</v>
      </c>
      <c r="D58" s="720">
        <v>49.99</v>
      </c>
      <c r="E58" s="722"/>
    </row>
    <row r="59" spans="1:8" ht="15" x14ac:dyDescent="0.25">
      <c r="A59" s="728"/>
      <c r="B59" s="933" t="s">
        <v>244</v>
      </c>
      <c r="C59" s="730"/>
      <c r="D59" s="731"/>
    </row>
    <row r="60" spans="1:8" x14ac:dyDescent="0.2">
      <c r="A60" s="732"/>
      <c r="B60" s="732">
        <f>ROUND(7.92*12,2)</f>
        <v>95.04</v>
      </c>
    </row>
    <row r="64" spans="1:8" ht="12.75" thickBot="1" x14ac:dyDescent="0.25"/>
    <row r="65" spans="5:7" ht="12.75" thickBot="1" x14ac:dyDescent="0.25">
      <c r="E65" s="1908" t="s">
        <v>231</v>
      </c>
      <c r="F65" s="1909"/>
      <c r="G65" s="733">
        <f>E47</f>
        <v>90</v>
      </c>
    </row>
    <row r="66" spans="5:7" ht="12.75" thickBot="1" x14ac:dyDescent="0.25">
      <c r="E66" s="1910" t="s">
        <v>232</v>
      </c>
      <c r="F66" s="1911"/>
      <c r="G66" s="733">
        <f>K47</f>
        <v>90.3</v>
      </c>
    </row>
    <row r="67" spans="5:7" ht="12.75" thickBot="1" x14ac:dyDescent="0.25">
      <c r="E67" s="1912" t="s">
        <v>233</v>
      </c>
      <c r="F67" s="1913"/>
      <c r="G67" s="733">
        <f>M47</f>
        <v>88.7</v>
      </c>
    </row>
    <row r="68" spans="5:7" ht="12.75" thickBot="1" x14ac:dyDescent="0.25">
      <c r="E68" s="1906" t="s">
        <v>234</v>
      </c>
      <c r="F68" s="1907"/>
      <c r="G68" s="733">
        <f>Z47</f>
        <v>91.3</v>
      </c>
    </row>
    <row r="69" spans="5:7" ht="12.75" thickBot="1" x14ac:dyDescent="0.25">
      <c r="E69" s="1914" t="s">
        <v>235</v>
      </c>
      <c r="F69" s="1914"/>
      <c r="G69" s="733">
        <f>AB47</f>
        <v>91.8</v>
      </c>
    </row>
    <row r="70" spans="5:7" ht="12.75" thickBot="1" x14ac:dyDescent="0.25">
      <c r="E70" s="1906" t="s">
        <v>236</v>
      </c>
      <c r="F70" s="1907"/>
      <c r="G70" s="734">
        <f>B60</f>
        <v>95.04</v>
      </c>
    </row>
  </sheetData>
  <mergeCells count="6">
    <mergeCell ref="E70:F70"/>
    <mergeCell ref="E65:F65"/>
    <mergeCell ref="E66:F66"/>
    <mergeCell ref="E67:F67"/>
    <mergeCell ref="E68:F68"/>
    <mergeCell ref="E69:F69"/>
  </mergeCells>
  <conditionalFormatting sqref="U10:U47 W10:W47">
    <cfRule type="cellIs" dxfId="671" priority="13" stopIfTrue="1" operator="between">
      <formula>$C$58</formula>
      <formula>$D$58</formula>
    </cfRule>
    <cfRule type="cellIs" dxfId="670" priority="14" stopIfTrue="1" operator="between">
      <formula>$C$57</formula>
      <formula>$D$57</formula>
    </cfRule>
    <cfRule type="cellIs" dxfId="669" priority="15" stopIfTrue="1" operator="between">
      <formula>$C$56</formula>
      <formula>$D$56</formula>
    </cfRule>
    <cfRule type="cellIs" dxfId="668" priority="16" stopIfTrue="1" operator="between">
      <formula>$C$55</formula>
      <formula>$D$55</formula>
    </cfRule>
    <cfRule type="cellIs" dxfId="667" priority="17" stopIfTrue="1" operator="between">
      <formula>$C$54</formula>
      <formula>$D$54</formula>
    </cfRule>
    <cfRule type="cellIs" dxfId="666" priority="18" stopIfTrue="1" operator="greaterThanOrEqual">
      <formula>$C$53</formula>
    </cfRule>
  </conditionalFormatting>
  <conditionalFormatting sqref="E10:E47 G10:G47 I10:I47 K10:K47 M10:M47 O10:O47 S10:S47 Z10:Z47 AB10:AB47 AD10:AD47 AF10:AF47 AH10:AH47 AN10:AN47 AP10:AP47 AR10:AR47 AU10:AU47 AW10:AW47 AY10:AY47">
    <cfRule type="cellIs" dxfId="665" priority="7" stopIfTrue="1" operator="between">
      <formula>0.1</formula>
      <formula>$D$58</formula>
    </cfRule>
    <cfRule type="cellIs" dxfId="664" priority="8" stopIfTrue="1" operator="between">
      <formula>$C$57</formula>
      <formula>$D$57</formula>
    </cfRule>
    <cfRule type="cellIs" dxfId="663" priority="9" stopIfTrue="1" operator="between">
      <formula>$C$56</formula>
      <formula>$D$56</formula>
    </cfRule>
    <cfRule type="cellIs" dxfId="662" priority="10" stopIfTrue="1" operator="between">
      <formula>$C$55</formula>
      <formula>$D$55</formula>
    </cfRule>
    <cfRule type="cellIs" dxfId="661" priority="11" stopIfTrue="1" operator="between">
      <formula>$C$54</formula>
      <formula>$D$54</formula>
    </cfRule>
    <cfRule type="cellIs" dxfId="660" priority="12" stopIfTrue="1" operator="greaterThanOrEqual">
      <formula>$C$53</formula>
    </cfRule>
  </conditionalFormatting>
  <conditionalFormatting sqref="W10:W47">
    <cfRule type="cellIs" dxfId="659" priority="1" stopIfTrue="1" operator="between">
      <formula>0.1</formula>
      <formula>$D$58</formula>
    </cfRule>
    <cfRule type="cellIs" dxfId="658" priority="2" stopIfTrue="1" operator="between">
      <formula>$C$57</formula>
      <formula>$D$57</formula>
    </cfRule>
    <cfRule type="cellIs" dxfId="657" priority="3" stopIfTrue="1" operator="between">
      <formula>$C$56</formula>
      <formula>$D$56</formula>
    </cfRule>
    <cfRule type="cellIs" dxfId="656" priority="4" stopIfTrue="1" operator="between">
      <formula>$C$55</formula>
      <formula>$D$55</formula>
    </cfRule>
    <cfRule type="cellIs" dxfId="655" priority="5" stopIfTrue="1" operator="between">
      <formula>$C$54</formula>
      <formula>$D$54</formula>
    </cfRule>
    <cfRule type="cellIs" dxfId="654" priority="6" stopIfTrue="1" operator="greaterThanOrEqual">
      <formula>$C$53</formula>
    </cfRule>
  </conditionalFormatting>
  <printOptions horizontalCentered="1"/>
  <pageMargins left="1.299212598425197" right="0.19685039370078741" top="0.67" bottom="0.35433070866141736" header="0.27559055118110237" footer="0.23622047244094491"/>
  <pageSetup paperSize="5" scale="70" orientation="landscape" r:id="rId1"/>
  <headerFooter>
    <oddHeader>&amp;C&amp;"-,Negrita"Ministerio Salud y  Protección Social
República de Colombia</oddHeader>
    <oddFooter>&amp;L&amp;8                                          ** &amp;F **&amp;R&amp;8&amp;D - &amp;T        .</oddFooter>
  </headerFooter>
  <colBreaks count="1" manualBreakCount="1">
    <brk id="23" max="1048575" man="1"/>
  </col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FF"/>
  </sheetPr>
  <dimension ref="A1:BN65"/>
  <sheetViews>
    <sheetView zoomScale="90" zoomScaleNormal="90" workbookViewId="0">
      <pane xSplit="3" ySplit="9" topLeftCell="D10" activePane="bottomRight" state="frozen"/>
      <selection activeCell="AA46" sqref="AA46"/>
      <selection pane="topRight" activeCell="AA46" sqref="AA46"/>
      <selection pane="bottomLeft" activeCell="AA46" sqref="AA46"/>
      <selection pane="bottomRight" activeCell="D10" sqref="D10"/>
    </sheetView>
  </sheetViews>
  <sheetFormatPr baseColWidth="10" defaultColWidth="11.42578125" defaultRowHeight="15" x14ac:dyDescent="0.25"/>
  <cols>
    <col min="1" max="1" width="6.7109375" style="964" customWidth="1"/>
    <col min="2" max="2" width="21.42578125" style="964" customWidth="1"/>
    <col min="3" max="3" width="15.7109375" style="964" customWidth="1"/>
    <col min="4" max="4" width="17.42578125" style="964" customWidth="1"/>
    <col min="5" max="5" width="6.7109375" style="964" bestFit="1" customWidth="1"/>
    <col min="6" max="6" width="14.42578125" style="964" customWidth="1"/>
    <col min="7" max="7" width="6.7109375" style="964" bestFit="1" customWidth="1"/>
    <col min="8" max="8" width="11.42578125" style="964" bestFit="1" customWidth="1"/>
    <col min="9" max="9" width="6.140625" style="964" bestFit="1" customWidth="1"/>
    <col min="10" max="10" width="9.5703125" style="964" bestFit="1" customWidth="1"/>
    <col min="11" max="11" width="6.7109375" style="964" bestFit="1" customWidth="1"/>
    <col min="12" max="12" width="10.7109375" style="964" bestFit="1" customWidth="1"/>
    <col min="13" max="13" width="7.28515625" style="964" bestFit="1" customWidth="1"/>
    <col min="14" max="14" width="9.5703125" style="964" bestFit="1" customWidth="1"/>
    <col min="15" max="15" width="6.7109375" style="964" bestFit="1" customWidth="1"/>
    <col min="16" max="16" width="16.5703125" style="964" customWidth="1"/>
    <col min="17" max="17" width="6.7109375" style="964" bestFit="1" customWidth="1"/>
    <col min="18" max="18" width="11" style="964" bestFit="1" customWidth="1"/>
    <col min="19" max="19" width="6.7109375" style="964" bestFit="1" customWidth="1"/>
    <col min="20" max="20" width="10.7109375" style="964" bestFit="1" customWidth="1"/>
    <col min="21" max="21" width="6.140625" style="964" bestFit="1" customWidth="1"/>
    <col min="22" max="22" width="10.7109375" style="964" bestFit="1" customWidth="1"/>
    <col min="23" max="23" width="6.140625" style="964" bestFit="1" customWidth="1"/>
    <col min="24" max="24" width="10.42578125" style="964" bestFit="1" customWidth="1"/>
    <col min="25" max="25" width="6.7109375" style="964" bestFit="1" customWidth="1"/>
    <col min="26" max="26" width="10.7109375" style="964" bestFit="1" customWidth="1"/>
    <col min="27" max="27" width="6.140625" style="964" bestFit="1" customWidth="1"/>
    <col min="28" max="28" width="10.140625" style="964" bestFit="1" customWidth="1"/>
    <col min="29" max="29" width="6.7109375" style="964" bestFit="1" customWidth="1"/>
    <col min="30" max="30" width="10.140625" style="964" bestFit="1" customWidth="1"/>
    <col min="31" max="31" width="6.85546875" style="964" bestFit="1" customWidth="1"/>
    <col min="32" max="32" width="14.42578125" style="964" customWidth="1"/>
    <col min="33" max="33" width="10.5703125" style="964" bestFit="1" customWidth="1"/>
    <col min="34" max="34" width="9" style="964" customWidth="1"/>
    <col min="35" max="35" width="10.42578125" style="964" bestFit="1" customWidth="1"/>
    <col min="36" max="36" width="6.140625" style="964" bestFit="1" customWidth="1"/>
    <col min="37" max="37" width="10.5703125" style="964" bestFit="1" customWidth="1"/>
    <col min="38" max="38" width="8.140625" style="964" customWidth="1"/>
    <col min="39" max="39" width="10.140625" style="964" bestFit="1" customWidth="1"/>
    <col min="40" max="40" width="6.28515625" style="964" customWidth="1"/>
    <col min="41" max="41" width="9.85546875" style="964" bestFit="1" customWidth="1"/>
    <col min="42" max="42" width="6.140625" style="964" bestFit="1" customWidth="1"/>
    <col min="43" max="43" width="10.140625" style="964" bestFit="1" customWidth="1"/>
    <col min="44" max="44" width="11.7109375" style="964" bestFit="1" customWidth="1"/>
    <col min="45" max="45" width="10.28515625" style="964" bestFit="1" customWidth="1"/>
    <col min="46" max="46" width="6.7109375" style="964" bestFit="1" customWidth="1"/>
    <col min="47" max="47" width="10" style="964" bestFit="1" customWidth="1"/>
    <col min="48" max="48" width="6.7109375" style="964" customWidth="1"/>
    <col min="49" max="49" width="10" style="964" bestFit="1" customWidth="1"/>
    <col min="50" max="50" width="6.7109375" style="964" customWidth="1"/>
    <col min="51" max="51" width="14" style="964" customWidth="1"/>
    <col min="52" max="52" width="9.5703125" style="964" bestFit="1" customWidth="1"/>
    <col min="53" max="53" width="6.28515625" style="964" customWidth="1"/>
    <col min="54" max="54" width="9.5703125" style="964" bestFit="1" customWidth="1"/>
    <col min="55" max="55" width="6.28515625" style="964" customWidth="1"/>
    <col min="56" max="56" width="10.5703125" style="964" bestFit="1" customWidth="1"/>
    <col min="57" max="57" width="6.28515625" style="964" bestFit="1" customWidth="1"/>
    <col min="58" max="58" width="11.85546875" style="964" bestFit="1" customWidth="1"/>
    <col min="59" max="59" width="12.7109375" style="964" bestFit="1" customWidth="1"/>
    <col min="60" max="60" width="12" style="964" bestFit="1" customWidth="1"/>
    <col min="61" max="61" width="11" style="964" bestFit="1" customWidth="1"/>
    <col min="62" max="62" width="74.5703125" style="964" bestFit="1" customWidth="1"/>
    <col min="63" max="63" width="44.140625" style="964" bestFit="1" customWidth="1"/>
    <col min="64" max="64" width="7.5703125" style="964" bestFit="1" customWidth="1"/>
    <col min="65" max="65" width="5.7109375" style="964" bestFit="1" customWidth="1"/>
    <col min="66" max="16384" width="11.42578125" style="964"/>
  </cols>
  <sheetData>
    <row r="1" spans="1:66" s="622" customFormat="1" ht="12" x14ac:dyDescent="0.2"/>
    <row r="2" spans="1:66" s="622" customFormat="1" ht="12" x14ac:dyDescent="0.2"/>
    <row r="3" spans="1:66" s="622" customFormat="1" ht="12" x14ac:dyDescent="0.2"/>
    <row r="4" spans="1:66" s="703" customFormat="1" ht="12" x14ac:dyDescent="0.2"/>
    <row r="5" spans="1:66" s="703" customFormat="1" ht="12" customHeight="1" x14ac:dyDescent="0.2">
      <c r="A5" s="702" t="s">
        <v>305</v>
      </c>
      <c r="C5" s="704" t="s">
        <v>410</v>
      </c>
    </row>
    <row r="6" spans="1:66" s="703" customFormat="1" ht="12" customHeight="1" x14ac:dyDescent="0.2">
      <c r="A6" s="702" t="s">
        <v>306</v>
      </c>
      <c r="C6" s="705">
        <v>42379</v>
      </c>
    </row>
    <row r="7" spans="1:66" s="703" customFormat="1" ht="12" customHeight="1" x14ac:dyDescent="0.2">
      <c r="A7" s="702" t="s">
        <v>307</v>
      </c>
      <c r="C7" s="657" t="s">
        <v>309</v>
      </c>
    </row>
    <row r="8" spans="1:66" s="703" customFormat="1" ht="12.75" thickBot="1" x14ac:dyDescent="0.25"/>
    <row r="9" spans="1:66" s="938" customFormat="1" ht="62.1" customHeight="1" thickBot="1" x14ac:dyDescent="0.2">
      <c r="A9" s="904" t="s">
        <v>140</v>
      </c>
      <c r="B9" s="1126" t="s">
        <v>210</v>
      </c>
      <c r="C9" s="1127" t="s">
        <v>365</v>
      </c>
      <c r="D9" s="1089" t="s">
        <v>369</v>
      </c>
      <c r="E9" s="1090" t="s">
        <v>368</v>
      </c>
      <c r="F9" s="1091" t="s">
        <v>367</v>
      </c>
      <c r="G9" s="1092" t="s">
        <v>366</v>
      </c>
      <c r="H9" s="1092" t="s">
        <v>371</v>
      </c>
      <c r="I9" s="1093" t="s">
        <v>370</v>
      </c>
      <c r="J9" s="1094" t="s">
        <v>372</v>
      </c>
      <c r="K9" s="1095" t="s">
        <v>368</v>
      </c>
      <c r="L9" s="1095" t="s">
        <v>373</v>
      </c>
      <c r="M9" s="1095" t="s">
        <v>374</v>
      </c>
      <c r="N9" s="1095" t="s">
        <v>408</v>
      </c>
      <c r="O9" s="1096" t="s">
        <v>375</v>
      </c>
      <c r="P9" s="1128" t="s">
        <v>376</v>
      </c>
      <c r="Q9" s="1097" t="s">
        <v>377</v>
      </c>
      <c r="R9" s="1098" t="s">
        <v>378</v>
      </c>
      <c r="S9" s="1099" t="s">
        <v>377</v>
      </c>
      <c r="T9" s="1100" t="s">
        <v>379</v>
      </c>
      <c r="U9" s="1101" t="s">
        <v>380</v>
      </c>
      <c r="V9" s="1101" t="s">
        <v>381</v>
      </c>
      <c r="W9" s="1084" t="s">
        <v>382</v>
      </c>
      <c r="X9" s="679" t="s">
        <v>383</v>
      </c>
      <c r="Y9" s="1102" t="s">
        <v>380</v>
      </c>
      <c r="Z9" s="1102" t="s">
        <v>384</v>
      </c>
      <c r="AA9" s="1103" t="s">
        <v>382</v>
      </c>
      <c r="AB9" s="1104" t="s">
        <v>385</v>
      </c>
      <c r="AC9" s="1085" t="s">
        <v>386</v>
      </c>
      <c r="AD9" s="1085" t="s">
        <v>388</v>
      </c>
      <c r="AE9" s="1105" t="s">
        <v>387</v>
      </c>
      <c r="AF9" s="1124" t="s">
        <v>389</v>
      </c>
      <c r="AG9" s="1106" t="s">
        <v>409</v>
      </c>
      <c r="AH9" s="1107" t="s">
        <v>392</v>
      </c>
      <c r="AI9" s="1108" t="s">
        <v>390</v>
      </c>
      <c r="AJ9" s="1109" t="s">
        <v>380</v>
      </c>
      <c r="AK9" s="1110" t="s">
        <v>391</v>
      </c>
      <c r="AL9" s="1111" t="s">
        <v>392</v>
      </c>
      <c r="AM9" s="1104" t="s">
        <v>393</v>
      </c>
      <c r="AN9" s="1085" t="s">
        <v>394</v>
      </c>
      <c r="AO9" s="1085" t="s">
        <v>395</v>
      </c>
      <c r="AP9" s="1112" t="s">
        <v>386</v>
      </c>
      <c r="AQ9" s="1085" t="s">
        <v>189</v>
      </c>
      <c r="AR9" s="1086" t="s">
        <v>190</v>
      </c>
      <c r="AS9" s="1113" t="s">
        <v>396</v>
      </c>
      <c r="AT9" s="1114" t="s">
        <v>397</v>
      </c>
      <c r="AU9" s="1115" t="s">
        <v>398</v>
      </c>
      <c r="AV9" s="1116" t="s">
        <v>399</v>
      </c>
      <c r="AW9" s="940" t="s">
        <v>400</v>
      </c>
      <c r="AX9" s="1117" t="s">
        <v>399</v>
      </c>
      <c r="AY9" s="1087" t="s">
        <v>401</v>
      </c>
      <c r="AZ9" s="1118" t="s">
        <v>402</v>
      </c>
      <c r="BA9" s="1119" t="s">
        <v>403</v>
      </c>
      <c r="BB9" s="1120" t="s">
        <v>404</v>
      </c>
      <c r="BC9" s="1121" t="s">
        <v>403</v>
      </c>
      <c r="BD9" s="1122" t="s">
        <v>405</v>
      </c>
      <c r="BE9" s="1123" t="s">
        <v>406</v>
      </c>
      <c r="BF9" s="1088" t="s">
        <v>341</v>
      </c>
      <c r="BG9" s="1088" t="s">
        <v>407</v>
      </c>
      <c r="BH9" s="941" t="s">
        <v>342</v>
      </c>
      <c r="BI9" s="1125" t="s">
        <v>343</v>
      </c>
    </row>
    <row r="10" spans="1:66" ht="17.100000000000001" customHeight="1" x14ac:dyDescent="0.25">
      <c r="A10" s="1136">
        <v>91</v>
      </c>
      <c r="B10" s="1129" t="s">
        <v>12</v>
      </c>
      <c r="C10" s="924">
        <v>1868</v>
      </c>
      <c r="D10" s="942">
        <v>1605</v>
      </c>
      <c r="E10" s="943">
        <f t="shared" ref="E10:I47" si="0">ROUND(D10/$C10*100,1)</f>
        <v>85.9</v>
      </c>
      <c r="F10" s="944">
        <v>1610</v>
      </c>
      <c r="G10" s="945">
        <f t="shared" si="0"/>
        <v>86.2</v>
      </c>
      <c r="H10" s="946">
        <v>1653</v>
      </c>
      <c r="I10" s="947">
        <f t="shared" si="0"/>
        <v>88.5</v>
      </c>
      <c r="J10" s="944">
        <v>1639</v>
      </c>
      <c r="K10" s="947">
        <f t="shared" ref="K10:K47" si="1">ROUND(J10/$C10*100,1)</f>
        <v>87.7</v>
      </c>
      <c r="L10" s="948">
        <v>1632</v>
      </c>
      <c r="M10" s="947">
        <f t="shared" ref="M10:M47" si="2">ROUND(L10/$C10*100,1)</f>
        <v>87.4</v>
      </c>
      <c r="N10" s="948">
        <v>1654</v>
      </c>
      <c r="O10" s="947">
        <f t="shared" ref="O10:O47" si="3">ROUND(N10/$C10*100,1)</f>
        <v>88.5</v>
      </c>
      <c r="P10" s="946">
        <v>1654</v>
      </c>
      <c r="Q10" s="947">
        <f t="shared" ref="Q10:Q47" si="4">ROUND(P10/$C10*100,1)</f>
        <v>88.5</v>
      </c>
      <c r="R10" s="949">
        <v>1458</v>
      </c>
      <c r="S10" s="947">
        <f t="shared" ref="S10:S47" si="5">ROUND(R10/$C10*100,1)</f>
        <v>78.099999999999994</v>
      </c>
      <c r="T10" s="944">
        <v>1511</v>
      </c>
      <c r="U10" s="947">
        <f t="shared" ref="U10:U47" si="6">ROUND(T10/C10*100,1)</f>
        <v>80.900000000000006</v>
      </c>
      <c r="V10" s="948">
        <v>1523</v>
      </c>
      <c r="W10" s="943">
        <f t="shared" ref="W10:W47" si="7">ROUND(V10/$C10*100,1)</f>
        <v>81.5</v>
      </c>
      <c r="X10" s="950">
        <v>1495</v>
      </c>
      <c r="Y10" s="945">
        <f>ROUND(X10/($C10/12*9)*100,1)</f>
        <v>106.7</v>
      </c>
      <c r="Z10" s="951">
        <v>1042</v>
      </c>
      <c r="AA10" s="947">
        <f>ROUND(Z10/($C10/12*9)*100,1)</f>
        <v>74.400000000000006</v>
      </c>
      <c r="AB10" s="944">
        <v>1639</v>
      </c>
      <c r="AC10" s="947">
        <f t="shared" ref="AC10:AC47" si="8">ROUND(AB10/$C10*100,1)</f>
        <v>87.7</v>
      </c>
      <c r="AD10" s="948">
        <v>1636</v>
      </c>
      <c r="AE10" s="947">
        <f t="shared" ref="AE10:AE47" si="9">ROUND(AD10/$C10*100,1)</f>
        <v>87.6</v>
      </c>
      <c r="AF10" s="952">
        <v>1921</v>
      </c>
      <c r="AG10" s="953">
        <v>1671</v>
      </c>
      <c r="AH10" s="943">
        <f t="shared" ref="AH10:AH47" si="10">ROUND(AG10/$AF10*100,1)</f>
        <v>87</v>
      </c>
      <c r="AI10" s="950">
        <v>736</v>
      </c>
      <c r="AJ10" s="1081">
        <f t="shared" ref="AJ10:AJ47" si="11">ROUND(AI10/AF10*100,1)</f>
        <v>38.299999999999997</v>
      </c>
      <c r="AK10" s="1082">
        <v>954</v>
      </c>
      <c r="AL10" s="1083">
        <f>ROUND(AK10/$AF10*100,1)</f>
        <v>49.7</v>
      </c>
      <c r="AM10" s="946">
        <v>1644</v>
      </c>
      <c r="AN10" s="947">
        <f t="shared" ref="AN10:AN47" si="12">ROUND(AM10/$AF10*100,1)</f>
        <v>85.6</v>
      </c>
      <c r="AO10" s="955">
        <v>13</v>
      </c>
      <c r="AP10" s="956">
        <f>AO10/$AF$10*100</f>
        <v>0.67673086933888604</v>
      </c>
      <c r="AQ10" s="955">
        <v>35</v>
      </c>
      <c r="AR10" s="957">
        <v>27</v>
      </c>
      <c r="AS10" s="958">
        <v>1674</v>
      </c>
      <c r="AT10" s="959">
        <f>ROUND(AS10/$AF10*100,1)</f>
        <v>87.1</v>
      </c>
      <c r="AU10" s="944">
        <v>1671</v>
      </c>
      <c r="AV10" s="947">
        <f t="shared" ref="AV10:AV47" si="13">ROUND(AU10/$AF10*100,1)</f>
        <v>87</v>
      </c>
      <c r="AW10" s="944">
        <v>1519</v>
      </c>
      <c r="AX10" s="947">
        <f t="shared" ref="AX10:AX47" si="14">ROUND(AW10/$AF10*100,1)</f>
        <v>79.099999999999994</v>
      </c>
      <c r="AY10" s="960">
        <v>1821</v>
      </c>
      <c r="AZ10" s="961">
        <v>1470</v>
      </c>
      <c r="BA10" s="947">
        <f t="shared" ref="BA10:BA47" si="15">ROUND(AZ10/$AY10*100,1)</f>
        <v>80.7</v>
      </c>
      <c r="BB10" s="946">
        <v>1448</v>
      </c>
      <c r="BC10" s="943">
        <f t="shared" ref="BC10:BC47" si="16">ROUND(BB10/$AY10*100,1)</f>
        <v>79.5</v>
      </c>
      <c r="BD10" s="944">
        <v>1417</v>
      </c>
      <c r="BE10" s="947">
        <f t="shared" ref="BE10:BE47" si="17">ROUND(BD10/$AY10*100,1)</f>
        <v>77.8</v>
      </c>
      <c r="BF10" s="944">
        <v>370</v>
      </c>
      <c r="BG10" s="948">
        <v>1248</v>
      </c>
      <c r="BH10" s="962">
        <v>465</v>
      </c>
      <c r="BI10" s="963" t="s">
        <v>344</v>
      </c>
      <c r="BN10" s="963"/>
    </row>
    <row r="11" spans="1:66" ht="17.100000000000001" customHeight="1" x14ac:dyDescent="0.25">
      <c r="A11" s="1137" t="s">
        <v>141</v>
      </c>
      <c r="B11" s="1130" t="s">
        <v>11</v>
      </c>
      <c r="C11" s="925">
        <v>78320</v>
      </c>
      <c r="D11" s="965">
        <v>76653</v>
      </c>
      <c r="E11" s="954">
        <f t="shared" si="0"/>
        <v>97.9</v>
      </c>
      <c r="F11" s="965">
        <v>75585</v>
      </c>
      <c r="G11" s="966">
        <f t="shared" si="0"/>
        <v>96.5</v>
      </c>
      <c r="H11" s="967">
        <v>73821</v>
      </c>
      <c r="I11" s="968">
        <f t="shared" si="0"/>
        <v>94.3</v>
      </c>
      <c r="J11" s="965">
        <v>76545</v>
      </c>
      <c r="K11" s="968">
        <f t="shared" si="1"/>
        <v>97.7</v>
      </c>
      <c r="L11" s="969">
        <v>75557</v>
      </c>
      <c r="M11" s="968">
        <f t="shared" si="2"/>
        <v>96.5</v>
      </c>
      <c r="N11" s="969">
        <v>73892</v>
      </c>
      <c r="O11" s="968">
        <f t="shared" si="3"/>
        <v>94.3</v>
      </c>
      <c r="P11" s="967">
        <v>75976</v>
      </c>
      <c r="Q11" s="968">
        <f t="shared" si="4"/>
        <v>97</v>
      </c>
      <c r="R11" s="970">
        <v>74801</v>
      </c>
      <c r="S11" s="968">
        <f t="shared" si="5"/>
        <v>95.5</v>
      </c>
      <c r="T11" s="965">
        <v>74464</v>
      </c>
      <c r="U11" s="968">
        <f t="shared" si="6"/>
        <v>95.1</v>
      </c>
      <c r="V11" s="969">
        <v>74549</v>
      </c>
      <c r="W11" s="954">
        <f t="shared" si="7"/>
        <v>95.2</v>
      </c>
      <c r="X11" s="970">
        <v>68891</v>
      </c>
      <c r="Y11" s="966">
        <f>ROUND(X11/($C11/12*9)*100,1)</f>
        <v>117.3</v>
      </c>
      <c r="Z11" s="971">
        <v>41847</v>
      </c>
      <c r="AA11" s="968">
        <f>ROUND(Z11/($C11/12*9)*100,1)</f>
        <v>71.2</v>
      </c>
      <c r="AB11" s="965">
        <v>76442</v>
      </c>
      <c r="AC11" s="968">
        <f t="shared" si="8"/>
        <v>97.6</v>
      </c>
      <c r="AD11" s="969">
        <v>75364</v>
      </c>
      <c r="AE11" s="968">
        <f t="shared" si="9"/>
        <v>96.2</v>
      </c>
      <c r="AF11" s="972">
        <v>80214</v>
      </c>
      <c r="AG11" s="973">
        <v>77596</v>
      </c>
      <c r="AH11" s="954">
        <f t="shared" si="10"/>
        <v>96.7</v>
      </c>
      <c r="AI11" s="970">
        <v>36958</v>
      </c>
      <c r="AJ11" s="954">
        <f t="shared" si="11"/>
        <v>46.1</v>
      </c>
      <c r="AK11" s="974">
        <v>44959</v>
      </c>
      <c r="AL11" s="968">
        <f>ROUND(AK11/$AF11*100,1)</f>
        <v>56</v>
      </c>
      <c r="AM11" s="967">
        <v>74129</v>
      </c>
      <c r="AN11" s="968">
        <f t="shared" si="12"/>
        <v>92.4</v>
      </c>
      <c r="AO11" s="975">
        <v>961</v>
      </c>
      <c r="AP11" s="966">
        <f t="shared" ref="AP11:AP47" si="18">AO11/AF11*100</f>
        <v>1.198045229012392</v>
      </c>
      <c r="AQ11" s="975">
        <v>659</v>
      </c>
      <c r="AR11" s="976">
        <v>1602</v>
      </c>
      <c r="AS11" s="977">
        <v>79087</v>
      </c>
      <c r="AT11" s="978">
        <f>ROUND(AS11/$AF11*100,1)</f>
        <v>98.6</v>
      </c>
      <c r="AU11" s="965">
        <v>75890</v>
      </c>
      <c r="AV11" s="968">
        <f t="shared" si="13"/>
        <v>94.6</v>
      </c>
      <c r="AW11" s="965">
        <v>75914</v>
      </c>
      <c r="AX11" s="968">
        <f t="shared" si="14"/>
        <v>94.6</v>
      </c>
      <c r="AY11" s="979">
        <v>86690</v>
      </c>
      <c r="AZ11" s="980">
        <v>75188</v>
      </c>
      <c r="BA11" s="968">
        <f t="shared" si="15"/>
        <v>86.7</v>
      </c>
      <c r="BB11" s="967">
        <v>75195</v>
      </c>
      <c r="BC11" s="954">
        <f t="shared" si="16"/>
        <v>86.7</v>
      </c>
      <c r="BD11" s="965">
        <v>75880</v>
      </c>
      <c r="BE11" s="968">
        <f t="shared" si="17"/>
        <v>87.5</v>
      </c>
      <c r="BF11" s="965">
        <v>26782</v>
      </c>
      <c r="BG11" s="969">
        <v>334905</v>
      </c>
      <c r="BH11" s="981">
        <v>53883</v>
      </c>
      <c r="BI11" s="963" t="s">
        <v>345</v>
      </c>
      <c r="BJ11" s="982" t="s">
        <v>411</v>
      </c>
    </row>
    <row r="12" spans="1:66" ht="17.100000000000001" customHeight="1" x14ac:dyDescent="0.25">
      <c r="A12" s="1137">
        <v>81</v>
      </c>
      <c r="B12" s="1131" t="s">
        <v>13</v>
      </c>
      <c r="C12" s="925">
        <v>4432</v>
      </c>
      <c r="D12" s="965">
        <v>4323</v>
      </c>
      <c r="E12" s="954">
        <f t="shared" si="0"/>
        <v>97.5</v>
      </c>
      <c r="F12" s="965">
        <v>4240</v>
      </c>
      <c r="G12" s="966">
        <f t="shared" si="0"/>
        <v>95.7</v>
      </c>
      <c r="H12" s="967">
        <v>4131</v>
      </c>
      <c r="I12" s="968">
        <f t="shared" si="0"/>
        <v>93.2</v>
      </c>
      <c r="J12" s="965">
        <v>4323</v>
      </c>
      <c r="K12" s="968">
        <f t="shared" si="1"/>
        <v>97.5</v>
      </c>
      <c r="L12" s="969">
        <v>4241</v>
      </c>
      <c r="M12" s="968">
        <f t="shared" si="2"/>
        <v>95.7</v>
      </c>
      <c r="N12" s="969">
        <v>4129</v>
      </c>
      <c r="O12" s="968">
        <f t="shared" si="3"/>
        <v>93.2</v>
      </c>
      <c r="P12" s="967">
        <v>4382</v>
      </c>
      <c r="Q12" s="968">
        <f t="shared" si="4"/>
        <v>98.9</v>
      </c>
      <c r="R12" s="970">
        <v>4253</v>
      </c>
      <c r="S12" s="968">
        <f t="shared" si="5"/>
        <v>96</v>
      </c>
      <c r="T12" s="965">
        <v>4177</v>
      </c>
      <c r="U12" s="968">
        <f t="shared" si="6"/>
        <v>94.2</v>
      </c>
      <c r="V12" s="969">
        <v>4122</v>
      </c>
      <c r="W12" s="954">
        <f t="shared" si="7"/>
        <v>93</v>
      </c>
      <c r="X12" s="970">
        <v>1581</v>
      </c>
      <c r="Y12" s="966">
        <f t="shared" ref="Y12:Y47" si="19">ROUND(X12/($C12/12*9)*100,1)</f>
        <v>47.6</v>
      </c>
      <c r="Z12" s="971">
        <v>1148</v>
      </c>
      <c r="AA12" s="968">
        <f t="shared" ref="AA12:AA47" si="20">ROUND(Z12/($C12/12*9)*100,1)</f>
        <v>34.5</v>
      </c>
      <c r="AB12" s="965">
        <v>4358</v>
      </c>
      <c r="AC12" s="968">
        <f t="shared" si="8"/>
        <v>98.3</v>
      </c>
      <c r="AD12" s="969">
        <v>4242</v>
      </c>
      <c r="AE12" s="968">
        <f t="shared" si="9"/>
        <v>95.7</v>
      </c>
      <c r="AF12" s="972">
        <v>4580</v>
      </c>
      <c r="AG12" s="973">
        <v>4315</v>
      </c>
      <c r="AH12" s="954">
        <f t="shared" si="10"/>
        <v>94.2</v>
      </c>
      <c r="AI12" s="970">
        <v>1885</v>
      </c>
      <c r="AJ12" s="954">
        <f t="shared" si="11"/>
        <v>41.2</v>
      </c>
      <c r="AK12" s="974">
        <v>2330</v>
      </c>
      <c r="AL12" s="968">
        <f t="shared" ref="AL12:AL46" si="21">ROUND(AK12/$AF12*100,1)</f>
        <v>50.9</v>
      </c>
      <c r="AM12" s="967">
        <v>4226</v>
      </c>
      <c r="AN12" s="968">
        <f t="shared" si="12"/>
        <v>92.3</v>
      </c>
      <c r="AO12" s="975">
        <v>82</v>
      </c>
      <c r="AP12" s="966">
        <f t="shared" si="18"/>
        <v>1.7903930131004366</v>
      </c>
      <c r="AQ12" s="975">
        <v>82</v>
      </c>
      <c r="AR12" s="976">
        <v>84</v>
      </c>
      <c r="AS12" s="981">
        <v>4331</v>
      </c>
      <c r="AT12" s="978">
        <f>ROUND(AS12/$AF12*100,1)</f>
        <v>94.6</v>
      </c>
      <c r="AU12" s="965">
        <v>4467</v>
      </c>
      <c r="AV12" s="968">
        <f t="shared" si="13"/>
        <v>97.5</v>
      </c>
      <c r="AW12" s="965">
        <v>4462</v>
      </c>
      <c r="AX12" s="968">
        <f t="shared" si="14"/>
        <v>97.4</v>
      </c>
      <c r="AY12" s="979">
        <v>4956</v>
      </c>
      <c r="AZ12" s="980">
        <v>4509</v>
      </c>
      <c r="BA12" s="968">
        <f t="shared" si="15"/>
        <v>91</v>
      </c>
      <c r="BB12" s="967">
        <v>4510</v>
      </c>
      <c r="BC12" s="954">
        <f t="shared" si="16"/>
        <v>91</v>
      </c>
      <c r="BD12" s="965">
        <v>4509</v>
      </c>
      <c r="BE12" s="968">
        <f t="shared" si="17"/>
        <v>91</v>
      </c>
      <c r="BF12" s="965">
        <v>3299</v>
      </c>
      <c r="BG12" s="969">
        <v>3793</v>
      </c>
      <c r="BH12" s="981">
        <v>2331</v>
      </c>
      <c r="BI12" s="963" t="s">
        <v>346</v>
      </c>
    </row>
    <row r="13" spans="1:66" ht="17.100000000000001" customHeight="1" x14ac:dyDescent="0.25">
      <c r="A13" s="1137" t="s">
        <v>142</v>
      </c>
      <c r="B13" s="1131" t="s">
        <v>14</v>
      </c>
      <c r="C13" s="925">
        <v>20535</v>
      </c>
      <c r="D13" s="965">
        <v>18760</v>
      </c>
      <c r="E13" s="954">
        <f t="shared" si="0"/>
        <v>91.4</v>
      </c>
      <c r="F13" s="965">
        <v>19656</v>
      </c>
      <c r="G13" s="966">
        <f t="shared" si="0"/>
        <v>95.7</v>
      </c>
      <c r="H13" s="967">
        <v>20476</v>
      </c>
      <c r="I13" s="968">
        <f t="shared" si="0"/>
        <v>99.7</v>
      </c>
      <c r="J13" s="965">
        <v>19132</v>
      </c>
      <c r="K13" s="968">
        <f t="shared" si="1"/>
        <v>93.2</v>
      </c>
      <c r="L13" s="969">
        <v>19667</v>
      </c>
      <c r="M13" s="968">
        <f t="shared" si="2"/>
        <v>95.8</v>
      </c>
      <c r="N13" s="969">
        <v>20534</v>
      </c>
      <c r="O13" s="968">
        <f t="shared" si="3"/>
        <v>100</v>
      </c>
      <c r="P13" s="967">
        <v>19025</v>
      </c>
      <c r="Q13" s="968">
        <f t="shared" si="4"/>
        <v>92.6</v>
      </c>
      <c r="R13" s="970">
        <v>17537</v>
      </c>
      <c r="S13" s="968">
        <f t="shared" si="5"/>
        <v>85.4</v>
      </c>
      <c r="T13" s="965">
        <v>18913</v>
      </c>
      <c r="U13" s="968">
        <f t="shared" si="6"/>
        <v>92.1</v>
      </c>
      <c r="V13" s="969">
        <v>19600</v>
      </c>
      <c r="W13" s="954">
        <f t="shared" si="7"/>
        <v>95.4</v>
      </c>
      <c r="X13" s="970">
        <v>12646</v>
      </c>
      <c r="Y13" s="966">
        <f t="shared" si="19"/>
        <v>82.1</v>
      </c>
      <c r="Z13" s="971">
        <v>7581</v>
      </c>
      <c r="AA13" s="968">
        <f t="shared" si="20"/>
        <v>49.2</v>
      </c>
      <c r="AB13" s="965">
        <v>19001</v>
      </c>
      <c r="AC13" s="968">
        <f t="shared" si="8"/>
        <v>92.5</v>
      </c>
      <c r="AD13" s="969">
        <v>19648</v>
      </c>
      <c r="AE13" s="968">
        <f t="shared" si="9"/>
        <v>95.7</v>
      </c>
      <c r="AF13" s="972">
        <v>20744</v>
      </c>
      <c r="AG13" s="973">
        <v>20501</v>
      </c>
      <c r="AH13" s="954">
        <f t="shared" si="10"/>
        <v>98.8</v>
      </c>
      <c r="AI13" s="970">
        <v>8930</v>
      </c>
      <c r="AJ13" s="954">
        <f t="shared" si="11"/>
        <v>43</v>
      </c>
      <c r="AK13" s="974">
        <v>11386</v>
      </c>
      <c r="AL13" s="968">
        <f t="shared" si="21"/>
        <v>54.9</v>
      </c>
      <c r="AM13" s="967">
        <v>20394</v>
      </c>
      <c r="AN13" s="968">
        <f t="shared" si="12"/>
        <v>98.3</v>
      </c>
      <c r="AO13" s="975">
        <v>155</v>
      </c>
      <c r="AP13" s="966">
        <f t="shared" si="18"/>
        <v>0.74720401079830312</v>
      </c>
      <c r="AQ13" s="975">
        <v>133</v>
      </c>
      <c r="AR13" s="976">
        <v>235</v>
      </c>
      <c r="AS13" s="981">
        <v>20591</v>
      </c>
      <c r="AT13" s="978">
        <f>ROUND(AS13/$AF13*100,1)</f>
        <v>99.3</v>
      </c>
      <c r="AU13" s="965">
        <v>20153</v>
      </c>
      <c r="AV13" s="968">
        <f t="shared" si="13"/>
        <v>97.2</v>
      </c>
      <c r="AW13" s="965">
        <v>20619</v>
      </c>
      <c r="AX13" s="968">
        <f t="shared" si="14"/>
        <v>99.4</v>
      </c>
      <c r="AY13" s="979">
        <v>21432</v>
      </c>
      <c r="AZ13" s="980">
        <v>19054</v>
      </c>
      <c r="BA13" s="968">
        <f t="shared" si="15"/>
        <v>88.9</v>
      </c>
      <c r="BB13" s="967">
        <v>18074</v>
      </c>
      <c r="BC13" s="954">
        <f t="shared" si="16"/>
        <v>84.3</v>
      </c>
      <c r="BD13" s="965">
        <v>18429</v>
      </c>
      <c r="BE13" s="968">
        <f t="shared" si="17"/>
        <v>86</v>
      </c>
      <c r="BF13" s="965">
        <v>14693</v>
      </c>
      <c r="BG13" s="969">
        <v>10474</v>
      </c>
      <c r="BH13" s="981">
        <v>7201</v>
      </c>
      <c r="BI13" s="963" t="s">
        <v>347</v>
      </c>
    </row>
    <row r="14" spans="1:66" ht="17.100000000000001" customHeight="1" x14ac:dyDescent="0.25">
      <c r="A14" s="1137" t="s">
        <v>245</v>
      </c>
      <c r="B14" s="1132" t="s">
        <v>115</v>
      </c>
      <c r="C14" s="925">
        <v>21306</v>
      </c>
      <c r="D14" s="965">
        <v>20905</v>
      </c>
      <c r="E14" s="954">
        <f t="shared" si="0"/>
        <v>98.1</v>
      </c>
      <c r="F14" s="965">
        <v>21010</v>
      </c>
      <c r="G14" s="966">
        <f t="shared" si="0"/>
        <v>98.6</v>
      </c>
      <c r="H14" s="967">
        <v>20920</v>
      </c>
      <c r="I14" s="968">
        <f t="shared" si="0"/>
        <v>98.2</v>
      </c>
      <c r="J14" s="965">
        <v>21102</v>
      </c>
      <c r="K14" s="968">
        <f t="shared" si="1"/>
        <v>99</v>
      </c>
      <c r="L14" s="967">
        <v>21123</v>
      </c>
      <c r="M14" s="968">
        <f t="shared" si="2"/>
        <v>99.1</v>
      </c>
      <c r="N14" s="967">
        <v>21025</v>
      </c>
      <c r="O14" s="968">
        <f t="shared" si="3"/>
        <v>98.7</v>
      </c>
      <c r="P14" s="967">
        <v>21157</v>
      </c>
      <c r="Q14" s="968">
        <f t="shared" si="4"/>
        <v>99.3</v>
      </c>
      <c r="R14" s="970">
        <v>20770</v>
      </c>
      <c r="S14" s="968">
        <f t="shared" si="5"/>
        <v>97.5</v>
      </c>
      <c r="T14" s="965">
        <v>20735</v>
      </c>
      <c r="U14" s="968">
        <f t="shared" si="6"/>
        <v>97.3</v>
      </c>
      <c r="V14" s="967">
        <v>20708</v>
      </c>
      <c r="W14" s="954">
        <f t="shared" si="7"/>
        <v>97.2</v>
      </c>
      <c r="X14" s="970">
        <v>19007</v>
      </c>
      <c r="Y14" s="966">
        <f t="shared" si="19"/>
        <v>118.9</v>
      </c>
      <c r="Z14" s="971">
        <v>12871</v>
      </c>
      <c r="AA14" s="968">
        <f t="shared" si="20"/>
        <v>80.5</v>
      </c>
      <c r="AB14" s="965">
        <v>20805</v>
      </c>
      <c r="AC14" s="968">
        <f t="shared" si="8"/>
        <v>97.6</v>
      </c>
      <c r="AD14" s="969">
        <v>20914</v>
      </c>
      <c r="AE14" s="968">
        <f t="shared" si="9"/>
        <v>98.2</v>
      </c>
      <c r="AF14" s="972">
        <v>21444</v>
      </c>
      <c r="AG14" s="973">
        <v>21022</v>
      </c>
      <c r="AH14" s="954">
        <f t="shared" si="10"/>
        <v>98</v>
      </c>
      <c r="AI14" s="970">
        <v>8177</v>
      </c>
      <c r="AJ14" s="954">
        <f t="shared" si="11"/>
        <v>38.1</v>
      </c>
      <c r="AK14" s="974">
        <v>12916</v>
      </c>
      <c r="AL14" s="968">
        <f t="shared" si="21"/>
        <v>60.2</v>
      </c>
      <c r="AM14" s="967">
        <v>20859</v>
      </c>
      <c r="AN14" s="968">
        <f t="shared" si="12"/>
        <v>97.3</v>
      </c>
      <c r="AO14" s="975">
        <v>150</v>
      </c>
      <c r="AP14" s="966">
        <f t="shared" si="18"/>
        <v>0.69949636261891435</v>
      </c>
      <c r="AQ14" s="975">
        <v>65</v>
      </c>
      <c r="AR14" s="976">
        <v>194</v>
      </c>
      <c r="AS14" s="981">
        <v>21033</v>
      </c>
      <c r="AT14" s="978">
        <f t="shared" ref="AT14:AT46" si="22">ROUND(AS14/$AF14*100,1)</f>
        <v>98.1</v>
      </c>
      <c r="AU14" s="965">
        <v>20938</v>
      </c>
      <c r="AV14" s="968">
        <f t="shared" si="13"/>
        <v>97.6</v>
      </c>
      <c r="AW14" s="965">
        <v>20770</v>
      </c>
      <c r="AX14" s="968">
        <f t="shared" si="14"/>
        <v>96.9</v>
      </c>
      <c r="AY14" s="979">
        <v>21943</v>
      </c>
      <c r="AZ14" s="980">
        <v>17045</v>
      </c>
      <c r="BA14" s="968">
        <f t="shared" si="15"/>
        <v>77.7</v>
      </c>
      <c r="BB14" s="967">
        <v>17031</v>
      </c>
      <c r="BC14" s="954">
        <f t="shared" si="16"/>
        <v>77.599999999999994</v>
      </c>
      <c r="BD14" s="965">
        <v>16980</v>
      </c>
      <c r="BE14" s="968">
        <f t="shared" si="17"/>
        <v>77.400000000000006</v>
      </c>
      <c r="BF14" s="965">
        <v>3825</v>
      </c>
      <c r="BG14" s="969">
        <v>25568</v>
      </c>
      <c r="BH14" s="981">
        <v>12956</v>
      </c>
      <c r="BI14" s="963" t="s">
        <v>347</v>
      </c>
    </row>
    <row r="15" spans="1:66" ht="17.100000000000001" customHeight="1" x14ac:dyDescent="0.25">
      <c r="A15" s="1137">
        <v>11</v>
      </c>
      <c r="B15" s="1131" t="s">
        <v>348</v>
      </c>
      <c r="C15" s="925">
        <v>108426</v>
      </c>
      <c r="D15" s="965">
        <v>103526</v>
      </c>
      <c r="E15" s="954">
        <f t="shared" si="0"/>
        <v>95.5</v>
      </c>
      <c r="F15" s="965">
        <v>102837</v>
      </c>
      <c r="G15" s="966">
        <f t="shared" si="0"/>
        <v>94.8</v>
      </c>
      <c r="H15" s="967">
        <v>98282</v>
      </c>
      <c r="I15" s="968">
        <f t="shared" si="0"/>
        <v>90.6</v>
      </c>
      <c r="J15" s="965">
        <v>103626</v>
      </c>
      <c r="K15" s="968">
        <f t="shared" si="1"/>
        <v>95.6</v>
      </c>
      <c r="L15" s="969">
        <v>102925</v>
      </c>
      <c r="M15" s="968">
        <f t="shared" si="2"/>
        <v>94.9</v>
      </c>
      <c r="N15" s="969">
        <v>98307</v>
      </c>
      <c r="O15" s="968">
        <f t="shared" si="3"/>
        <v>90.7</v>
      </c>
      <c r="P15" s="967">
        <v>116702</v>
      </c>
      <c r="Q15" s="968">
        <f t="shared" si="4"/>
        <v>107.6</v>
      </c>
      <c r="R15" s="970">
        <v>116357</v>
      </c>
      <c r="S15" s="968">
        <f t="shared" si="5"/>
        <v>107.3</v>
      </c>
      <c r="T15" s="965">
        <v>102430</v>
      </c>
      <c r="U15" s="968">
        <f t="shared" si="6"/>
        <v>94.5</v>
      </c>
      <c r="V15" s="969">
        <v>101763</v>
      </c>
      <c r="W15" s="954">
        <f t="shared" si="7"/>
        <v>93.9</v>
      </c>
      <c r="X15" s="970">
        <v>74862</v>
      </c>
      <c r="Y15" s="966">
        <f t="shared" si="19"/>
        <v>92.1</v>
      </c>
      <c r="Z15" s="971">
        <v>53286</v>
      </c>
      <c r="AA15" s="968">
        <f t="shared" si="20"/>
        <v>65.5</v>
      </c>
      <c r="AB15" s="965">
        <v>103570</v>
      </c>
      <c r="AC15" s="968">
        <f t="shared" si="8"/>
        <v>95.5</v>
      </c>
      <c r="AD15" s="969">
        <v>104637</v>
      </c>
      <c r="AE15" s="968">
        <f t="shared" si="9"/>
        <v>96.5</v>
      </c>
      <c r="AF15" s="972">
        <v>105297</v>
      </c>
      <c r="AG15" s="973">
        <v>103138</v>
      </c>
      <c r="AH15" s="954">
        <f t="shared" si="10"/>
        <v>97.9</v>
      </c>
      <c r="AI15" s="970">
        <v>78322</v>
      </c>
      <c r="AJ15" s="954">
        <f t="shared" si="11"/>
        <v>74.400000000000006</v>
      </c>
      <c r="AK15" s="974">
        <v>56392</v>
      </c>
      <c r="AL15" s="968">
        <f t="shared" si="21"/>
        <v>53.6</v>
      </c>
      <c r="AM15" s="967">
        <v>100777</v>
      </c>
      <c r="AN15" s="968">
        <f t="shared" si="12"/>
        <v>95.7</v>
      </c>
      <c r="AO15" s="975">
        <v>442</v>
      </c>
      <c r="AP15" s="966">
        <f t="shared" si="18"/>
        <v>0.41976504553785959</v>
      </c>
      <c r="AQ15" s="975">
        <v>768</v>
      </c>
      <c r="AR15" s="976">
        <v>733</v>
      </c>
      <c r="AS15" s="981">
        <v>107677</v>
      </c>
      <c r="AT15" s="978">
        <f t="shared" si="22"/>
        <v>102.3</v>
      </c>
      <c r="AU15" s="965">
        <v>100121</v>
      </c>
      <c r="AV15" s="968">
        <f t="shared" si="13"/>
        <v>95.1</v>
      </c>
      <c r="AW15" s="965">
        <v>100042</v>
      </c>
      <c r="AX15" s="968">
        <f t="shared" si="14"/>
        <v>95</v>
      </c>
      <c r="AY15" s="979">
        <v>109123</v>
      </c>
      <c r="AZ15" s="980">
        <v>97690</v>
      </c>
      <c r="BA15" s="968">
        <f t="shared" si="15"/>
        <v>89.5</v>
      </c>
      <c r="BB15" s="967">
        <v>100818</v>
      </c>
      <c r="BC15" s="954">
        <f t="shared" si="16"/>
        <v>92.4</v>
      </c>
      <c r="BD15" s="965">
        <v>97854</v>
      </c>
      <c r="BE15" s="968">
        <f t="shared" si="17"/>
        <v>89.7</v>
      </c>
      <c r="BF15" s="965">
        <v>64064</v>
      </c>
      <c r="BG15" s="969">
        <v>409794</v>
      </c>
      <c r="BH15" s="981">
        <v>60770</v>
      </c>
      <c r="BI15" s="963" t="s">
        <v>345</v>
      </c>
    </row>
    <row r="16" spans="1:66" ht="17.100000000000001" customHeight="1" x14ac:dyDescent="0.25">
      <c r="A16" s="1137">
        <v>13</v>
      </c>
      <c r="B16" s="1131" t="s">
        <v>62</v>
      </c>
      <c r="C16" s="925">
        <v>22593</v>
      </c>
      <c r="D16" s="965">
        <v>17212</v>
      </c>
      <c r="E16" s="954">
        <f t="shared" si="0"/>
        <v>76.2</v>
      </c>
      <c r="F16" s="965">
        <v>18047</v>
      </c>
      <c r="G16" s="966">
        <f t="shared" si="0"/>
        <v>79.900000000000006</v>
      </c>
      <c r="H16" s="967">
        <v>18316</v>
      </c>
      <c r="I16" s="968">
        <f t="shared" si="0"/>
        <v>81.099999999999994</v>
      </c>
      <c r="J16" s="965">
        <v>17893</v>
      </c>
      <c r="K16" s="968">
        <f t="shared" si="1"/>
        <v>79.2</v>
      </c>
      <c r="L16" s="969">
        <v>18029</v>
      </c>
      <c r="M16" s="968">
        <f t="shared" si="2"/>
        <v>79.8</v>
      </c>
      <c r="N16" s="969">
        <v>18309</v>
      </c>
      <c r="O16" s="968">
        <f t="shared" si="3"/>
        <v>81</v>
      </c>
      <c r="P16" s="967">
        <v>13412</v>
      </c>
      <c r="Q16" s="968">
        <f t="shared" si="4"/>
        <v>59.4</v>
      </c>
      <c r="R16" s="970">
        <v>12447</v>
      </c>
      <c r="S16" s="968">
        <f t="shared" si="5"/>
        <v>55.1</v>
      </c>
      <c r="T16" s="965">
        <v>17274</v>
      </c>
      <c r="U16" s="968">
        <f t="shared" si="6"/>
        <v>76.5</v>
      </c>
      <c r="V16" s="969">
        <v>17516</v>
      </c>
      <c r="W16" s="954">
        <f t="shared" si="7"/>
        <v>77.5</v>
      </c>
      <c r="X16" s="970">
        <v>15756</v>
      </c>
      <c r="Y16" s="966">
        <f t="shared" si="19"/>
        <v>93</v>
      </c>
      <c r="Z16" s="971">
        <v>9981</v>
      </c>
      <c r="AA16" s="968">
        <f t="shared" si="20"/>
        <v>58.9</v>
      </c>
      <c r="AB16" s="965">
        <v>17835</v>
      </c>
      <c r="AC16" s="968">
        <f t="shared" si="8"/>
        <v>78.900000000000006</v>
      </c>
      <c r="AD16" s="969">
        <v>18017</v>
      </c>
      <c r="AE16" s="968">
        <f t="shared" si="9"/>
        <v>79.7</v>
      </c>
      <c r="AF16" s="972">
        <v>22971</v>
      </c>
      <c r="AG16" s="973">
        <v>19350</v>
      </c>
      <c r="AH16" s="954">
        <f t="shared" si="10"/>
        <v>84.2</v>
      </c>
      <c r="AI16" s="970">
        <v>7738</v>
      </c>
      <c r="AJ16" s="954">
        <f t="shared" si="11"/>
        <v>33.700000000000003</v>
      </c>
      <c r="AK16" s="974">
        <v>11914</v>
      </c>
      <c r="AL16" s="968">
        <f t="shared" si="21"/>
        <v>51.9</v>
      </c>
      <c r="AM16" s="967">
        <v>19080</v>
      </c>
      <c r="AN16" s="968">
        <f t="shared" si="12"/>
        <v>83.1</v>
      </c>
      <c r="AO16" s="975">
        <v>168</v>
      </c>
      <c r="AP16" s="966">
        <f t="shared" si="18"/>
        <v>0.73135692830090115</v>
      </c>
      <c r="AQ16" s="975">
        <v>268</v>
      </c>
      <c r="AR16" s="976">
        <v>527</v>
      </c>
      <c r="AS16" s="981">
        <v>19322</v>
      </c>
      <c r="AT16" s="978">
        <f t="shared" si="22"/>
        <v>84.1</v>
      </c>
      <c r="AU16" s="965">
        <v>19543</v>
      </c>
      <c r="AV16" s="968">
        <f t="shared" si="13"/>
        <v>85.1</v>
      </c>
      <c r="AW16" s="965">
        <v>19432</v>
      </c>
      <c r="AX16" s="968">
        <f t="shared" si="14"/>
        <v>84.6</v>
      </c>
      <c r="AY16" s="979">
        <v>21359</v>
      </c>
      <c r="AZ16" s="980">
        <v>17368</v>
      </c>
      <c r="BA16" s="968">
        <f t="shared" si="15"/>
        <v>81.3</v>
      </c>
      <c r="BB16" s="967">
        <v>17289</v>
      </c>
      <c r="BC16" s="954">
        <f t="shared" si="16"/>
        <v>80.900000000000006</v>
      </c>
      <c r="BD16" s="965">
        <v>17087</v>
      </c>
      <c r="BE16" s="968">
        <f t="shared" si="17"/>
        <v>80</v>
      </c>
      <c r="BF16" s="965">
        <v>9322</v>
      </c>
      <c r="BG16" s="969">
        <v>24688</v>
      </c>
      <c r="BH16" s="981">
        <v>11218</v>
      </c>
      <c r="BI16" s="963" t="s">
        <v>347</v>
      </c>
    </row>
    <row r="17" spans="1:64" ht="17.100000000000001" customHeight="1" x14ac:dyDescent="0.25">
      <c r="A17" s="1137">
        <v>13001</v>
      </c>
      <c r="B17" s="1132" t="s">
        <v>45</v>
      </c>
      <c r="C17" s="925">
        <v>18882</v>
      </c>
      <c r="D17" s="965">
        <v>18655</v>
      </c>
      <c r="E17" s="954">
        <f t="shared" si="0"/>
        <v>98.8</v>
      </c>
      <c r="F17" s="965">
        <v>18614</v>
      </c>
      <c r="G17" s="966">
        <f t="shared" si="0"/>
        <v>98.6</v>
      </c>
      <c r="H17" s="967">
        <v>18133</v>
      </c>
      <c r="I17" s="968">
        <f t="shared" si="0"/>
        <v>96</v>
      </c>
      <c r="J17" s="965">
        <v>18688</v>
      </c>
      <c r="K17" s="968">
        <f t="shared" si="1"/>
        <v>99</v>
      </c>
      <c r="L17" s="969">
        <v>18576</v>
      </c>
      <c r="M17" s="968">
        <f t="shared" si="2"/>
        <v>98.4</v>
      </c>
      <c r="N17" s="969">
        <v>18090</v>
      </c>
      <c r="O17" s="968">
        <f t="shared" si="3"/>
        <v>95.8</v>
      </c>
      <c r="P17" s="967">
        <v>20021</v>
      </c>
      <c r="Q17" s="968">
        <f t="shared" si="4"/>
        <v>106</v>
      </c>
      <c r="R17" s="970">
        <v>19694</v>
      </c>
      <c r="S17" s="968">
        <f t="shared" si="5"/>
        <v>104.3</v>
      </c>
      <c r="T17" s="965">
        <v>18108</v>
      </c>
      <c r="U17" s="968">
        <f t="shared" si="6"/>
        <v>95.9</v>
      </c>
      <c r="V17" s="969">
        <v>18281</v>
      </c>
      <c r="W17" s="954">
        <f t="shared" si="7"/>
        <v>96.8</v>
      </c>
      <c r="X17" s="970">
        <v>16124</v>
      </c>
      <c r="Y17" s="966">
        <f t="shared" si="19"/>
        <v>113.9</v>
      </c>
      <c r="Z17" s="971">
        <v>11907</v>
      </c>
      <c r="AA17" s="968">
        <f t="shared" si="20"/>
        <v>84.1</v>
      </c>
      <c r="AB17" s="965">
        <v>18797</v>
      </c>
      <c r="AC17" s="968">
        <f t="shared" si="8"/>
        <v>99.5</v>
      </c>
      <c r="AD17" s="969">
        <v>18711</v>
      </c>
      <c r="AE17" s="968">
        <f t="shared" si="9"/>
        <v>99.1</v>
      </c>
      <c r="AF17" s="972">
        <v>18959</v>
      </c>
      <c r="AG17" s="973">
        <v>18866</v>
      </c>
      <c r="AH17" s="954">
        <f t="shared" si="10"/>
        <v>99.5</v>
      </c>
      <c r="AI17" s="970">
        <v>7943</v>
      </c>
      <c r="AJ17" s="954">
        <f t="shared" si="11"/>
        <v>41.9</v>
      </c>
      <c r="AK17" s="974">
        <v>10878</v>
      </c>
      <c r="AL17" s="968">
        <f t="shared" si="21"/>
        <v>57.4</v>
      </c>
      <c r="AM17" s="967">
        <v>18680</v>
      </c>
      <c r="AN17" s="968">
        <f t="shared" si="12"/>
        <v>98.5</v>
      </c>
      <c r="AO17" s="975">
        <v>91</v>
      </c>
      <c r="AP17" s="966">
        <f t="shared" si="18"/>
        <v>0.47998312147265154</v>
      </c>
      <c r="AQ17" s="975">
        <v>166</v>
      </c>
      <c r="AR17" s="976">
        <v>150</v>
      </c>
      <c r="AS17" s="981">
        <v>18854</v>
      </c>
      <c r="AT17" s="978">
        <f t="shared" si="22"/>
        <v>99.4</v>
      </c>
      <c r="AU17" s="965">
        <v>17681</v>
      </c>
      <c r="AV17" s="968">
        <f t="shared" si="13"/>
        <v>93.3</v>
      </c>
      <c r="AW17" s="965">
        <v>17623</v>
      </c>
      <c r="AX17" s="968">
        <f t="shared" si="14"/>
        <v>93</v>
      </c>
      <c r="AY17" s="979">
        <v>18768</v>
      </c>
      <c r="AZ17" s="980">
        <v>15103</v>
      </c>
      <c r="BA17" s="968">
        <f>ROUND(AZ17/$AY17*100,1)</f>
        <v>80.5</v>
      </c>
      <c r="BB17" s="967">
        <v>14961</v>
      </c>
      <c r="BC17" s="954">
        <f>ROUND(BB17/$AY17*100,1)</f>
        <v>79.7</v>
      </c>
      <c r="BD17" s="965">
        <v>15046</v>
      </c>
      <c r="BE17" s="968">
        <f>ROUND(BD17/$AY17*100,1)</f>
        <v>80.2</v>
      </c>
      <c r="BF17" s="965">
        <v>2996</v>
      </c>
      <c r="BG17" s="969">
        <v>13158</v>
      </c>
      <c r="BH17" s="981">
        <v>14083</v>
      </c>
      <c r="BI17" s="963" t="s">
        <v>347</v>
      </c>
    </row>
    <row r="18" spans="1:64" ht="17.100000000000001" customHeight="1" x14ac:dyDescent="0.25">
      <c r="A18" s="1137">
        <v>15</v>
      </c>
      <c r="B18" s="1133" t="s">
        <v>17</v>
      </c>
      <c r="C18" s="925">
        <v>16944</v>
      </c>
      <c r="D18" s="965">
        <v>16028</v>
      </c>
      <c r="E18" s="954">
        <f t="shared" si="0"/>
        <v>94.6</v>
      </c>
      <c r="F18" s="965">
        <v>15882</v>
      </c>
      <c r="G18" s="966">
        <f t="shared" si="0"/>
        <v>93.7</v>
      </c>
      <c r="H18" s="967">
        <v>15797</v>
      </c>
      <c r="I18" s="968">
        <f t="shared" si="0"/>
        <v>93.2</v>
      </c>
      <c r="J18" s="965">
        <v>16025</v>
      </c>
      <c r="K18" s="968">
        <f t="shared" si="1"/>
        <v>94.6</v>
      </c>
      <c r="L18" s="967">
        <v>15881</v>
      </c>
      <c r="M18" s="968">
        <f t="shared" si="2"/>
        <v>93.7</v>
      </c>
      <c r="N18" s="967">
        <v>15804</v>
      </c>
      <c r="O18" s="968">
        <f t="shared" si="3"/>
        <v>93.3</v>
      </c>
      <c r="P18" s="967">
        <v>15826</v>
      </c>
      <c r="Q18" s="968">
        <f t="shared" si="4"/>
        <v>93.4</v>
      </c>
      <c r="R18" s="970">
        <v>15679</v>
      </c>
      <c r="S18" s="968">
        <f t="shared" si="5"/>
        <v>92.5</v>
      </c>
      <c r="T18" s="965">
        <v>15913</v>
      </c>
      <c r="U18" s="968">
        <f t="shared" si="6"/>
        <v>93.9</v>
      </c>
      <c r="V18" s="967">
        <v>15762</v>
      </c>
      <c r="W18" s="954">
        <f t="shared" si="7"/>
        <v>93</v>
      </c>
      <c r="X18" s="970">
        <v>15267</v>
      </c>
      <c r="Y18" s="966">
        <f t="shared" si="19"/>
        <v>120.1</v>
      </c>
      <c r="Z18" s="971">
        <v>11598</v>
      </c>
      <c r="AA18" s="968">
        <f t="shared" si="20"/>
        <v>91.3</v>
      </c>
      <c r="AB18" s="965">
        <v>16050</v>
      </c>
      <c r="AC18" s="968">
        <f t="shared" si="8"/>
        <v>94.7</v>
      </c>
      <c r="AD18" s="969">
        <v>15890</v>
      </c>
      <c r="AE18" s="968">
        <f t="shared" si="9"/>
        <v>93.8</v>
      </c>
      <c r="AF18" s="972">
        <v>17377</v>
      </c>
      <c r="AG18" s="973">
        <v>16238</v>
      </c>
      <c r="AH18" s="954">
        <f t="shared" si="10"/>
        <v>93.4</v>
      </c>
      <c r="AI18" s="970">
        <v>7256</v>
      </c>
      <c r="AJ18" s="954">
        <f t="shared" si="11"/>
        <v>41.8</v>
      </c>
      <c r="AK18" s="974">
        <v>9036</v>
      </c>
      <c r="AL18" s="968">
        <f t="shared" si="21"/>
        <v>52</v>
      </c>
      <c r="AM18" s="967">
        <v>16169</v>
      </c>
      <c r="AN18" s="968">
        <f t="shared" si="12"/>
        <v>93</v>
      </c>
      <c r="AO18" s="975">
        <v>80</v>
      </c>
      <c r="AP18" s="966">
        <f t="shared" si="18"/>
        <v>0.46037866144904183</v>
      </c>
      <c r="AQ18" s="975">
        <v>37</v>
      </c>
      <c r="AR18" s="976">
        <v>353</v>
      </c>
      <c r="AS18" s="981">
        <v>16236</v>
      </c>
      <c r="AT18" s="978">
        <f t="shared" si="22"/>
        <v>93.4</v>
      </c>
      <c r="AU18" s="965">
        <v>16424</v>
      </c>
      <c r="AV18" s="968">
        <f t="shared" si="13"/>
        <v>94.5</v>
      </c>
      <c r="AW18" s="965">
        <v>16447</v>
      </c>
      <c r="AX18" s="968">
        <f t="shared" si="14"/>
        <v>94.6</v>
      </c>
      <c r="AY18" s="979">
        <v>19251</v>
      </c>
      <c r="AZ18" s="980">
        <v>17596</v>
      </c>
      <c r="BA18" s="968">
        <f t="shared" si="15"/>
        <v>91.4</v>
      </c>
      <c r="BB18" s="967">
        <v>17609</v>
      </c>
      <c r="BC18" s="954">
        <f t="shared" si="16"/>
        <v>91.5</v>
      </c>
      <c r="BD18" s="965">
        <v>17558</v>
      </c>
      <c r="BE18" s="968">
        <f t="shared" si="17"/>
        <v>91.2</v>
      </c>
      <c r="BF18" s="965">
        <v>11012</v>
      </c>
      <c r="BG18" s="969">
        <v>51443</v>
      </c>
      <c r="BH18" s="981">
        <v>11126</v>
      </c>
      <c r="BI18" s="963" t="s">
        <v>345</v>
      </c>
    </row>
    <row r="19" spans="1:64" ht="17.100000000000001" customHeight="1" x14ac:dyDescent="0.25">
      <c r="A19" s="1137">
        <v>17</v>
      </c>
      <c r="B19" s="1133" t="s">
        <v>19</v>
      </c>
      <c r="C19" s="925">
        <v>10446</v>
      </c>
      <c r="D19" s="965">
        <v>9710</v>
      </c>
      <c r="E19" s="954">
        <f t="shared" si="0"/>
        <v>93</v>
      </c>
      <c r="F19" s="965">
        <v>9917</v>
      </c>
      <c r="G19" s="966">
        <f t="shared" si="0"/>
        <v>94.9</v>
      </c>
      <c r="H19" s="967">
        <v>9952</v>
      </c>
      <c r="I19" s="968">
        <f t="shared" si="0"/>
        <v>95.3</v>
      </c>
      <c r="J19" s="965">
        <v>9756</v>
      </c>
      <c r="K19" s="968">
        <f t="shared" si="1"/>
        <v>93.4</v>
      </c>
      <c r="L19" s="969">
        <v>9915</v>
      </c>
      <c r="M19" s="968">
        <f t="shared" si="2"/>
        <v>94.9</v>
      </c>
      <c r="N19" s="969">
        <v>9963</v>
      </c>
      <c r="O19" s="968">
        <f t="shared" si="3"/>
        <v>95.4</v>
      </c>
      <c r="P19" s="967">
        <v>10015</v>
      </c>
      <c r="Q19" s="968">
        <f t="shared" si="4"/>
        <v>95.9</v>
      </c>
      <c r="R19" s="970">
        <v>9909</v>
      </c>
      <c r="S19" s="968">
        <f t="shared" si="5"/>
        <v>94.9</v>
      </c>
      <c r="T19" s="965">
        <v>9724</v>
      </c>
      <c r="U19" s="968">
        <f t="shared" si="6"/>
        <v>93.1</v>
      </c>
      <c r="V19" s="969">
        <v>9872</v>
      </c>
      <c r="W19" s="954">
        <f t="shared" si="7"/>
        <v>94.5</v>
      </c>
      <c r="X19" s="970">
        <v>8511</v>
      </c>
      <c r="Y19" s="966">
        <f t="shared" si="19"/>
        <v>108.6</v>
      </c>
      <c r="Z19" s="971">
        <v>6634</v>
      </c>
      <c r="AA19" s="968">
        <f t="shared" si="20"/>
        <v>84.7</v>
      </c>
      <c r="AB19" s="965">
        <v>9759</v>
      </c>
      <c r="AC19" s="968">
        <f t="shared" si="8"/>
        <v>93.4</v>
      </c>
      <c r="AD19" s="969">
        <v>9922</v>
      </c>
      <c r="AE19" s="968">
        <f t="shared" si="9"/>
        <v>95</v>
      </c>
      <c r="AF19" s="972">
        <v>10645</v>
      </c>
      <c r="AG19" s="973">
        <v>10111</v>
      </c>
      <c r="AH19" s="954">
        <f t="shared" si="10"/>
        <v>95</v>
      </c>
      <c r="AI19" s="970">
        <v>4767</v>
      </c>
      <c r="AJ19" s="954">
        <f t="shared" si="11"/>
        <v>44.8</v>
      </c>
      <c r="AK19" s="974">
        <v>5416</v>
      </c>
      <c r="AL19" s="968">
        <f t="shared" si="21"/>
        <v>50.9</v>
      </c>
      <c r="AM19" s="967">
        <v>9762</v>
      </c>
      <c r="AN19" s="968">
        <f t="shared" si="12"/>
        <v>91.7</v>
      </c>
      <c r="AO19" s="975">
        <v>66</v>
      </c>
      <c r="AP19" s="966">
        <f t="shared" si="18"/>
        <v>0.6200093940817285</v>
      </c>
      <c r="AQ19" s="975">
        <v>16</v>
      </c>
      <c r="AR19" s="976">
        <v>55</v>
      </c>
      <c r="AS19" s="981">
        <v>10092</v>
      </c>
      <c r="AT19" s="978">
        <f t="shared" si="22"/>
        <v>94.8</v>
      </c>
      <c r="AU19" s="965">
        <v>9918</v>
      </c>
      <c r="AV19" s="968">
        <f t="shared" si="13"/>
        <v>93.2</v>
      </c>
      <c r="AW19" s="965">
        <v>10131</v>
      </c>
      <c r="AX19" s="968">
        <f t="shared" si="14"/>
        <v>95.2</v>
      </c>
      <c r="AY19" s="979">
        <v>11692</v>
      </c>
      <c r="AZ19" s="980">
        <v>10248</v>
      </c>
      <c r="BA19" s="968">
        <f t="shared" si="15"/>
        <v>87.6</v>
      </c>
      <c r="BB19" s="967">
        <v>10161</v>
      </c>
      <c r="BC19" s="954">
        <f t="shared" si="16"/>
        <v>86.9</v>
      </c>
      <c r="BD19" s="965">
        <v>10009</v>
      </c>
      <c r="BE19" s="968">
        <f t="shared" si="17"/>
        <v>85.6</v>
      </c>
      <c r="BF19" s="965">
        <v>3954</v>
      </c>
      <c r="BG19" s="969">
        <v>46084</v>
      </c>
      <c r="BH19" s="981">
        <v>6017</v>
      </c>
      <c r="BI19" s="963" t="s">
        <v>345</v>
      </c>
      <c r="BK19" s="983" t="s">
        <v>349</v>
      </c>
      <c r="BL19" s="984">
        <f>E47</f>
        <v>92.1</v>
      </c>
    </row>
    <row r="20" spans="1:64" ht="17.100000000000001" customHeight="1" x14ac:dyDescent="0.25">
      <c r="A20" s="1137">
        <v>18</v>
      </c>
      <c r="B20" s="1131" t="s">
        <v>63</v>
      </c>
      <c r="C20" s="925">
        <v>9738</v>
      </c>
      <c r="D20" s="965">
        <v>7500</v>
      </c>
      <c r="E20" s="954">
        <f t="shared" si="0"/>
        <v>77</v>
      </c>
      <c r="F20" s="965">
        <v>7284</v>
      </c>
      <c r="G20" s="966">
        <f t="shared" si="0"/>
        <v>74.8</v>
      </c>
      <c r="H20" s="967">
        <v>6927</v>
      </c>
      <c r="I20" s="968">
        <f t="shared" si="0"/>
        <v>71.099999999999994</v>
      </c>
      <c r="J20" s="965">
        <v>7499</v>
      </c>
      <c r="K20" s="968">
        <f t="shared" si="1"/>
        <v>77</v>
      </c>
      <c r="L20" s="969">
        <v>7282</v>
      </c>
      <c r="M20" s="968">
        <f t="shared" si="2"/>
        <v>74.8</v>
      </c>
      <c r="N20" s="969">
        <v>6930</v>
      </c>
      <c r="O20" s="968">
        <f t="shared" si="3"/>
        <v>71.2</v>
      </c>
      <c r="P20" s="967">
        <v>7696</v>
      </c>
      <c r="Q20" s="968">
        <f t="shared" si="4"/>
        <v>79</v>
      </c>
      <c r="R20" s="970">
        <v>7396</v>
      </c>
      <c r="S20" s="968">
        <f t="shared" si="5"/>
        <v>75.900000000000006</v>
      </c>
      <c r="T20" s="965">
        <v>6906</v>
      </c>
      <c r="U20" s="968">
        <f t="shared" si="6"/>
        <v>70.900000000000006</v>
      </c>
      <c r="V20" s="969">
        <v>6804</v>
      </c>
      <c r="W20" s="954">
        <f t="shared" si="7"/>
        <v>69.900000000000006</v>
      </c>
      <c r="X20" s="970">
        <v>6193</v>
      </c>
      <c r="Y20" s="966">
        <f t="shared" si="19"/>
        <v>84.8</v>
      </c>
      <c r="Z20" s="971">
        <v>4629</v>
      </c>
      <c r="AA20" s="968">
        <f t="shared" si="20"/>
        <v>63.4</v>
      </c>
      <c r="AB20" s="965">
        <v>7498</v>
      </c>
      <c r="AC20" s="968">
        <f t="shared" si="8"/>
        <v>77</v>
      </c>
      <c r="AD20" s="969">
        <v>7280</v>
      </c>
      <c r="AE20" s="968">
        <f t="shared" si="9"/>
        <v>74.8</v>
      </c>
      <c r="AF20" s="972">
        <v>9836</v>
      </c>
      <c r="AG20" s="973">
        <v>7574</v>
      </c>
      <c r="AH20" s="954">
        <f t="shared" si="10"/>
        <v>77</v>
      </c>
      <c r="AI20" s="970">
        <v>3047</v>
      </c>
      <c r="AJ20" s="954">
        <f t="shared" si="11"/>
        <v>31</v>
      </c>
      <c r="AK20" s="974">
        <v>4541</v>
      </c>
      <c r="AL20" s="968">
        <f t="shared" si="21"/>
        <v>46.2</v>
      </c>
      <c r="AM20" s="967">
        <v>7340</v>
      </c>
      <c r="AN20" s="968">
        <f t="shared" si="12"/>
        <v>74.599999999999994</v>
      </c>
      <c r="AO20" s="975">
        <v>125</v>
      </c>
      <c r="AP20" s="966">
        <f t="shared" si="18"/>
        <v>1.2708418056120374</v>
      </c>
      <c r="AQ20" s="975">
        <v>209</v>
      </c>
      <c r="AR20" s="976">
        <v>295</v>
      </c>
      <c r="AS20" s="981">
        <v>7580</v>
      </c>
      <c r="AT20" s="978">
        <f t="shared" si="22"/>
        <v>77.099999999999994</v>
      </c>
      <c r="AU20" s="965">
        <v>7665</v>
      </c>
      <c r="AV20" s="968">
        <f t="shared" si="13"/>
        <v>77.900000000000006</v>
      </c>
      <c r="AW20" s="965">
        <v>7684</v>
      </c>
      <c r="AX20" s="968">
        <f t="shared" si="14"/>
        <v>78.099999999999994</v>
      </c>
      <c r="AY20" s="979">
        <v>9828</v>
      </c>
      <c r="AZ20" s="980">
        <v>7289</v>
      </c>
      <c r="BA20" s="968">
        <f t="shared" si="15"/>
        <v>74.2</v>
      </c>
      <c r="BB20" s="967">
        <v>7290</v>
      </c>
      <c r="BC20" s="954">
        <f t="shared" si="16"/>
        <v>74.2</v>
      </c>
      <c r="BD20" s="965">
        <v>7288</v>
      </c>
      <c r="BE20" s="968">
        <f t="shared" si="17"/>
        <v>74.2</v>
      </c>
      <c r="BF20" s="965">
        <v>5559</v>
      </c>
      <c r="BG20" s="969">
        <v>13541</v>
      </c>
      <c r="BH20" s="981">
        <v>5755</v>
      </c>
      <c r="BI20" s="963" t="s">
        <v>344</v>
      </c>
      <c r="BK20" s="985" t="s">
        <v>350</v>
      </c>
      <c r="BL20" s="984">
        <f>I47</f>
        <v>91.4</v>
      </c>
    </row>
    <row r="21" spans="1:64" ht="17.100000000000001" customHeight="1" x14ac:dyDescent="0.25">
      <c r="A21" s="1137">
        <v>85</v>
      </c>
      <c r="B21" s="1133" t="s">
        <v>21</v>
      </c>
      <c r="C21" s="925">
        <v>7951</v>
      </c>
      <c r="D21" s="965">
        <v>7271</v>
      </c>
      <c r="E21" s="954">
        <f t="shared" si="0"/>
        <v>91.4</v>
      </c>
      <c r="F21" s="965">
        <v>7459</v>
      </c>
      <c r="G21" s="966">
        <f t="shared" si="0"/>
        <v>93.8</v>
      </c>
      <c r="H21" s="967">
        <v>7291</v>
      </c>
      <c r="I21" s="968">
        <f t="shared" si="0"/>
        <v>91.7</v>
      </c>
      <c r="J21" s="965">
        <v>7275</v>
      </c>
      <c r="K21" s="968">
        <f t="shared" si="1"/>
        <v>91.5</v>
      </c>
      <c r="L21" s="969">
        <v>7465</v>
      </c>
      <c r="M21" s="968">
        <f t="shared" si="2"/>
        <v>93.9</v>
      </c>
      <c r="N21" s="969">
        <v>7313</v>
      </c>
      <c r="O21" s="968">
        <f t="shared" si="3"/>
        <v>92</v>
      </c>
      <c r="P21" s="967">
        <v>7046</v>
      </c>
      <c r="Q21" s="968">
        <f t="shared" si="4"/>
        <v>88.6</v>
      </c>
      <c r="R21" s="970">
        <v>6926</v>
      </c>
      <c r="S21" s="968">
        <f t="shared" si="5"/>
        <v>87.1</v>
      </c>
      <c r="T21" s="965">
        <v>7238</v>
      </c>
      <c r="U21" s="968">
        <f t="shared" si="6"/>
        <v>91</v>
      </c>
      <c r="V21" s="969">
        <v>7435</v>
      </c>
      <c r="W21" s="954">
        <f t="shared" si="7"/>
        <v>93.5</v>
      </c>
      <c r="X21" s="970">
        <v>5098</v>
      </c>
      <c r="Y21" s="966">
        <f t="shared" si="19"/>
        <v>85.5</v>
      </c>
      <c r="Z21" s="971">
        <v>3876</v>
      </c>
      <c r="AA21" s="968">
        <f t="shared" si="20"/>
        <v>65</v>
      </c>
      <c r="AB21" s="965">
        <v>7272</v>
      </c>
      <c r="AC21" s="968">
        <f t="shared" si="8"/>
        <v>91.5</v>
      </c>
      <c r="AD21" s="969">
        <v>7468</v>
      </c>
      <c r="AE21" s="968">
        <f t="shared" si="9"/>
        <v>93.9</v>
      </c>
      <c r="AF21" s="972">
        <v>8021</v>
      </c>
      <c r="AG21" s="973">
        <v>7483</v>
      </c>
      <c r="AH21" s="954">
        <f t="shared" si="10"/>
        <v>93.3</v>
      </c>
      <c r="AI21" s="970">
        <v>3441</v>
      </c>
      <c r="AJ21" s="954">
        <f t="shared" si="11"/>
        <v>42.9</v>
      </c>
      <c r="AK21" s="974">
        <v>3913</v>
      </c>
      <c r="AL21" s="968">
        <f t="shared" si="21"/>
        <v>48.8</v>
      </c>
      <c r="AM21" s="967">
        <v>7488</v>
      </c>
      <c r="AN21" s="968">
        <f t="shared" si="12"/>
        <v>93.4</v>
      </c>
      <c r="AO21" s="975">
        <v>9</v>
      </c>
      <c r="AP21" s="966">
        <f t="shared" si="18"/>
        <v>0.1122054606657524</v>
      </c>
      <c r="AQ21" s="975">
        <v>10</v>
      </c>
      <c r="AR21" s="976">
        <v>30</v>
      </c>
      <c r="AS21" s="981">
        <v>7497</v>
      </c>
      <c r="AT21" s="978">
        <f t="shared" si="22"/>
        <v>93.5</v>
      </c>
      <c r="AU21" s="965">
        <v>7484</v>
      </c>
      <c r="AV21" s="968">
        <f t="shared" si="13"/>
        <v>93.3</v>
      </c>
      <c r="AW21" s="965">
        <v>7523</v>
      </c>
      <c r="AX21" s="968">
        <f t="shared" si="14"/>
        <v>93.8</v>
      </c>
      <c r="AY21" s="979">
        <v>7604</v>
      </c>
      <c r="AZ21" s="980">
        <v>7185</v>
      </c>
      <c r="BA21" s="968">
        <f t="shared" si="15"/>
        <v>94.5</v>
      </c>
      <c r="BB21" s="967">
        <v>7190</v>
      </c>
      <c r="BC21" s="954">
        <f t="shared" si="16"/>
        <v>94.6</v>
      </c>
      <c r="BD21" s="965">
        <v>7185</v>
      </c>
      <c r="BE21" s="968">
        <f t="shared" si="17"/>
        <v>94.5</v>
      </c>
      <c r="BF21" s="965">
        <v>3638</v>
      </c>
      <c r="BG21" s="969">
        <v>7589</v>
      </c>
      <c r="BH21" s="981">
        <v>4178</v>
      </c>
      <c r="BI21" s="963" t="s">
        <v>346</v>
      </c>
      <c r="BK21" s="986" t="s">
        <v>351</v>
      </c>
      <c r="BL21" s="984">
        <f>O47</f>
        <v>91.4</v>
      </c>
    </row>
    <row r="22" spans="1:64" ht="17.100000000000001" customHeight="1" x14ac:dyDescent="0.25">
      <c r="A22" s="1137">
        <v>19</v>
      </c>
      <c r="B22" s="1131" t="s">
        <v>18</v>
      </c>
      <c r="C22" s="925">
        <v>23215</v>
      </c>
      <c r="D22" s="965">
        <v>20956</v>
      </c>
      <c r="E22" s="954">
        <f t="shared" si="0"/>
        <v>90.3</v>
      </c>
      <c r="F22" s="965">
        <v>20772</v>
      </c>
      <c r="G22" s="966">
        <f t="shared" si="0"/>
        <v>89.5</v>
      </c>
      <c r="H22" s="967">
        <v>20505</v>
      </c>
      <c r="I22" s="968">
        <f t="shared" si="0"/>
        <v>88.3</v>
      </c>
      <c r="J22" s="965">
        <v>20973</v>
      </c>
      <c r="K22" s="968">
        <f t="shared" si="1"/>
        <v>90.3</v>
      </c>
      <c r="L22" s="969">
        <v>20777</v>
      </c>
      <c r="M22" s="968">
        <f t="shared" si="2"/>
        <v>89.5</v>
      </c>
      <c r="N22" s="969">
        <v>20486</v>
      </c>
      <c r="O22" s="968">
        <f t="shared" si="3"/>
        <v>88.2</v>
      </c>
      <c r="P22" s="967">
        <v>17665</v>
      </c>
      <c r="Q22" s="968">
        <f t="shared" si="4"/>
        <v>76.099999999999994</v>
      </c>
      <c r="R22" s="970">
        <v>17047</v>
      </c>
      <c r="S22" s="968">
        <f t="shared" si="5"/>
        <v>73.400000000000006</v>
      </c>
      <c r="T22" s="965">
        <v>20495</v>
      </c>
      <c r="U22" s="968">
        <f t="shared" si="6"/>
        <v>88.3</v>
      </c>
      <c r="V22" s="969">
        <v>20340</v>
      </c>
      <c r="W22" s="954">
        <f t="shared" si="7"/>
        <v>87.6</v>
      </c>
      <c r="X22" s="970">
        <v>16450</v>
      </c>
      <c r="Y22" s="966">
        <f t="shared" si="19"/>
        <v>94.5</v>
      </c>
      <c r="Z22" s="971">
        <v>11269</v>
      </c>
      <c r="AA22" s="968">
        <f t="shared" si="20"/>
        <v>64.7</v>
      </c>
      <c r="AB22" s="965">
        <v>21016</v>
      </c>
      <c r="AC22" s="968">
        <f t="shared" si="8"/>
        <v>90.5</v>
      </c>
      <c r="AD22" s="969">
        <v>20794</v>
      </c>
      <c r="AE22" s="968">
        <f t="shared" si="9"/>
        <v>89.6</v>
      </c>
      <c r="AF22" s="972">
        <v>23423</v>
      </c>
      <c r="AG22" s="973">
        <v>21480</v>
      </c>
      <c r="AH22" s="954">
        <f t="shared" si="10"/>
        <v>91.7</v>
      </c>
      <c r="AI22" s="970">
        <v>9616</v>
      </c>
      <c r="AJ22" s="954">
        <f t="shared" si="11"/>
        <v>41.1</v>
      </c>
      <c r="AK22" s="974">
        <v>11093</v>
      </c>
      <c r="AL22" s="968">
        <f t="shared" si="21"/>
        <v>47.4</v>
      </c>
      <c r="AM22" s="967">
        <v>21381</v>
      </c>
      <c r="AN22" s="968">
        <f t="shared" si="12"/>
        <v>91.3</v>
      </c>
      <c r="AO22" s="975">
        <v>86</v>
      </c>
      <c r="AP22" s="966">
        <f t="shared" si="18"/>
        <v>0.36716048328565937</v>
      </c>
      <c r="AQ22" s="975">
        <v>104</v>
      </c>
      <c r="AR22" s="976">
        <v>145</v>
      </c>
      <c r="AS22" s="981">
        <v>21429</v>
      </c>
      <c r="AT22" s="978">
        <f t="shared" si="22"/>
        <v>91.5</v>
      </c>
      <c r="AU22" s="965">
        <v>21473</v>
      </c>
      <c r="AV22" s="968">
        <f t="shared" si="13"/>
        <v>91.7</v>
      </c>
      <c r="AW22" s="965">
        <v>21099</v>
      </c>
      <c r="AX22" s="968">
        <f t="shared" si="14"/>
        <v>90.1</v>
      </c>
      <c r="AY22" s="979">
        <v>23668</v>
      </c>
      <c r="AZ22" s="980">
        <v>20744</v>
      </c>
      <c r="BA22" s="968">
        <f t="shared" si="15"/>
        <v>87.6</v>
      </c>
      <c r="BB22" s="967">
        <v>20545</v>
      </c>
      <c r="BC22" s="954">
        <f t="shared" si="16"/>
        <v>86.8</v>
      </c>
      <c r="BD22" s="965">
        <v>20606</v>
      </c>
      <c r="BE22" s="968">
        <f t="shared" si="17"/>
        <v>87.1</v>
      </c>
      <c r="BF22" s="965">
        <v>6837</v>
      </c>
      <c r="BG22" s="969">
        <v>55432</v>
      </c>
      <c r="BH22" s="981">
        <v>11184</v>
      </c>
      <c r="BI22" s="963" t="s">
        <v>352</v>
      </c>
      <c r="BK22" s="987" t="s">
        <v>353</v>
      </c>
      <c r="BL22" s="984">
        <f>Q47</f>
        <v>89.7</v>
      </c>
    </row>
    <row r="23" spans="1:64" ht="17.100000000000001" customHeight="1" x14ac:dyDescent="0.25">
      <c r="A23" s="1137">
        <v>20</v>
      </c>
      <c r="B23" s="1131" t="s">
        <v>22</v>
      </c>
      <c r="C23" s="925">
        <v>23684</v>
      </c>
      <c r="D23" s="965">
        <v>22188</v>
      </c>
      <c r="E23" s="954">
        <f t="shared" si="0"/>
        <v>93.7</v>
      </c>
      <c r="F23" s="965">
        <v>22581</v>
      </c>
      <c r="G23" s="966">
        <f t="shared" si="0"/>
        <v>95.3</v>
      </c>
      <c r="H23" s="967">
        <v>22298</v>
      </c>
      <c r="I23" s="968">
        <f t="shared" si="0"/>
        <v>94.1</v>
      </c>
      <c r="J23" s="965">
        <v>22258</v>
      </c>
      <c r="K23" s="968">
        <f t="shared" si="1"/>
        <v>94</v>
      </c>
      <c r="L23" s="969">
        <v>22596</v>
      </c>
      <c r="M23" s="968">
        <f t="shared" si="2"/>
        <v>95.4</v>
      </c>
      <c r="N23" s="969">
        <v>22328</v>
      </c>
      <c r="O23" s="968">
        <f t="shared" si="3"/>
        <v>94.3</v>
      </c>
      <c r="P23" s="967">
        <v>21686</v>
      </c>
      <c r="Q23" s="968">
        <f t="shared" si="4"/>
        <v>91.6</v>
      </c>
      <c r="R23" s="970">
        <v>21014</v>
      </c>
      <c r="S23" s="968">
        <f t="shared" si="5"/>
        <v>88.7</v>
      </c>
      <c r="T23" s="965">
        <v>21515</v>
      </c>
      <c r="U23" s="968">
        <f t="shared" si="6"/>
        <v>90.8</v>
      </c>
      <c r="V23" s="969">
        <v>21936</v>
      </c>
      <c r="W23" s="954">
        <f t="shared" si="7"/>
        <v>92.6</v>
      </c>
      <c r="X23" s="970">
        <v>20829</v>
      </c>
      <c r="Y23" s="966">
        <f>ROUND(X23/($C23/12*9)*100,1)</f>
        <v>117.3</v>
      </c>
      <c r="Z23" s="971">
        <v>14979</v>
      </c>
      <c r="AA23" s="968">
        <f t="shared" si="20"/>
        <v>84.3</v>
      </c>
      <c r="AB23" s="965">
        <v>22281</v>
      </c>
      <c r="AC23" s="968">
        <f t="shared" si="8"/>
        <v>94.1</v>
      </c>
      <c r="AD23" s="969">
        <v>22576</v>
      </c>
      <c r="AE23" s="968">
        <f t="shared" si="9"/>
        <v>95.3</v>
      </c>
      <c r="AF23" s="972">
        <v>24220</v>
      </c>
      <c r="AG23" s="973">
        <v>23198</v>
      </c>
      <c r="AH23" s="954">
        <f t="shared" si="10"/>
        <v>95.8</v>
      </c>
      <c r="AI23" s="970">
        <v>10234</v>
      </c>
      <c r="AJ23" s="954">
        <f t="shared" si="11"/>
        <v>42.3</v>
      </c>
      <c r="AK23" s="974">
        <v>13729</v>
      </c>
      <c r="AL23" s="968">
        <f t="shared" si="21"/>
        <v>56.7</v>
      </c>
      <c r="AM23" s="967">
        <v>22830</v>
      </c>
      <c r="AN23" s="968">
        <f t="shared" si="12"/>
        <v>94.3</v>
      </c>
      <c r="AO23" s="975">
        <v>196</v>
      </c>
      <c r="AP23" s="966">
        <f t="shared" si="18"/>
        <v>0.80924855491329473</v>
      </c>
      <c r="AQ23" s="975">
        <v>269</v>
      </c>
      <c r="AR23" s="976">
        <v>285</v>
      </c>
      <c r="AS23" s="981">
        <v>23221</v>
      </c>
      <c r="AT23" s="978">
        <f t="shared" si="22"/>
        <v>95.9</v>
      </c>
      <c r="AU23" s="965">
        <v>23110</v>
      </c>
      <c r="AV23" s="968">
        <f t="shared" si="13"/>
        <v>95.4</v>
      </c>
      <c r="AW23" s="965">
        <v>23262</v>
      </c>
      <c r="AX23" s="968">
        <f t="shared" si="14"/>
        <v>96</v>
      </c>
      <c r="AY23" s="979">
        <v>23312</v>
      </c>
      <c r="AZ23" s="980">
        <v>20604</v>
      </c>
      <c r="BA23" s="968">
        <f t="shared" si="15"/>
        <v>88.4</v>
      </c>
      <c r="BB23" s="967">
        <v>20381</v>
      </c>
      <c r="BC23" s="954">
        <f t="shared" si="16"/>
        <v>87.4</v>
      </c>
      <c r="BD23" s="965">
        <v>20470</v>
      </c>
      <c r="BE23" s="968">
        <f t="shared" si="17"/>
        <v>87.8</v>
      </c>
      <c r="BF23" s="965">
        <v>7417</v>
      </c>
      <c r="BG23" s="969">
        <v>31315</v>
      </c>
      <c r="BH23" s="981">
        <v>16278</v>
      </c>
      <c r="BI23" s="963" t="s">
        <v>347</v>
      </c>
      <c r="BK23" s="988" t="s">
        <v>354</v>
      </c>
      <c r="BL23" s="984">
        <f>AH47</f>
        <v>94</v>
      </c>
    </row>
    <row r="24" spans="1:64" ht="17.100000000000001" customHeight="1" thickBot="1" x14ac:dyDescent="0.3">
      <c r="A24" s="1137">
        <v>25</v>
      </c>
      <c r="B24" s="1131" t="s">
        <v>24</v>
      </c>
      <c r="C24" s="925">
        <v>11216</v>
      </c>
      <c r="D24" s="965">
        <v>10775</v>
      </c>
      <c r="E24" s="954">
        <f t="shared" si="0"/>
        <v>96.1</v>
      </c>
      <c r="F24" s="965">
        <v>9481</v>
      </c>
      <c r="G24" s="966">
        <f t="shared" si="0"/>
        <v>84.5</v>
      </c>
      <c r="H24" s="967">
        <v>9230</v>
      </c>
      <c r="I24" s="968">
        <f t="shared" si="0"/>
        <v>82.3</v>
      </c>
      <c r="J24" s="965">
        <v>10789</v>
      </c>
      <c r="K24" s="968">
        <f t="shared" si="1"/>
        <v>96.2</v>
      </c>
      <c r="L24" s="969">
        <v>9493</v>
      </c>
      <c r="M24" s="968">
        <f t="shared" si="2"/>
        <v>84.6</v>
      </c>
      <c r="N24" s="969">
        <v>9242</v>
      </c>
      <c r="O24" s="968">
        <f t="shared" si="3"/>
        <v>82.4</v>
      </c>
      <c r="P24" s="967">
        <v>9778</v>
      </c>
      <c r="Q24" s="968">
        <f t="shared" si="4"/>
        <v>87.2</v>
      </c>
      <c r="R24" s="970">
        <v>7222</v>
      </c>
      <c r="S24" s="968">
        <f t="shared" si="5"/>
        <v>64.400000000000006</v>
      </c>
      <c r="T24" s="965">
        <v>8384</v>
      </c>
      <c r="U24" s="968">
        <f t="shared" si="6"/>
        <v>74.8</v>
      </c>
      <c r="V24" s="969">
        <v>8139</v>
      </c>
      <c r="W24" s="954">
        <f t="shared" si="7"/>
        <v>72.599999999999994</v>
      </c>
      <c r="X24" s="970">
        <v>8345</v>
      </c>
      <c r="Y24" s="966">
        <f t="shared" si="19"/>
        <v>99.2</v>
      </c>
      <c r="Z24" s="971">
        <v>4856</v>
      </c>
      <c r="AA24" s="968">
        <f t="shared" si="20"/>
        <v>57.7</v>
      </c>
      <c r="AB24" s="965">
        <v>10771</v>
      </c>
      <c r="AC24" s="968">
        <f t="shared" si="8"/>
        <v>96</v>
      </c>
      <c r="AD24" s="969">
        <v>9526</v>
      </c>
      <c r="AE24" s="968">
        <f t="shared" si="9"/>
        <v>84.9</v>
      </c>
      <c r="AF24" s="972">
        <v>12072</v>
      </c>
      <c r="AG24" s="973">
        <v>11066</v>
      </c>
      <c r="AH24" s="954">
        <f t="shared" si="10"/>
        <v>91.7</v>
      </c>
      <c r="AI24" s="970">
        <v>3986</v>
      </c>
      <c r="AJ24" s="954">
        <f t="shared" si="11"/>
        <v>33</v>
      </c>
      <c r="AK24" s="974">
        <v>7079</v>
      </c>
      <c r="AL24" s="968">
        <f t="shared" si="21"/>
        <v>58.6</v>
      </c>
      <c r="AM24" s="967">
        <v>10371</v>
      </c>
      <c r="AN24" s="968">
        <f t="shared" si="12"/>
        <v>85.9</v>
      </c>
      <c r="AO24" s="975">
        <v>374</v>
      </c>
      <c r="AP24" s="966">
        <f t="shared" si="18"/>
        <v>3.0980781974817759</v>
      </c>
      <c r="AQ24" s="975">
        <v>746</v>
      </c>
      <c r="AR24" s="976">
        <v>227</v>
      </c>
      <c r="AS24" s="981">
        <v>11045</v>
      </c>
      <c r="AT24" s="978">
        <f t="shared" si="22"/>
        <v>91.5</v>
      </c>
      <c r="AU24" s="965">
        <v>10549</v>
      </c>
      <c r="AV24" s="968">
        <f t="shared" si="13"/>
        <v>87.4</v>
      </c>
      <c r="AW24" s="965">
        <v>10550</v>
      </c>
      <c r="AX24" s="968">
        <f t="shared" si="14"/>
        <v>87.4</v>
      </c>
      <c r="AY24" s="979">
        <v>10805</v>
      </c>
      <c r="AZ24" s="980">
        <v>7956</v>
      </c>
      <c r="BA24" s="968">
        <f t="shared" si="15"/>
        <v>73.599999999999994</v>
      </c>
      <c r="BB24" s="967">
        <v>7957</v>
      </c>
      <c r="BC24" s="954">
        <f t="shared" si="16"/>
        <v>73.599999999999994</v>
      </c>
      <c r="BD24" s="965">
        <v>7899</v>
      </c>
      <c r="BE24" s="968">
        <f t="shared" si="17"/>
        <v>73.099999999999994</v>
      </c>
      <c r="BF24" s="965">
        <v>2392</v>
      </c>
      <c r="BG24" s="969">
        <v>7886</v>
      </c>
      <c r="BH24" s="981">
        <v>4799</v>
      </c>
      <c r="BI24" s="963" t="s">
        <v>352</v>
      </c>
      <c r="BK24" s="989" t="s">
        <v>355</v>
      </c>
      <c r="BL24" s="984">
        <f>AL47</f>
        <v>54.3</v>
      </c>
    </row>
    <row r="25" spans="1:64" ht="17.100000000000001" customHeight="1" thickBot="1" x14ac:dyDescent="0.3">
      <c r="A25" s="1137">
        <v>23</v>
      </c>
      <c r="B25" s="1131" t="s">
        <v>64</v>
      </c>
      <c r="C25" s="925">
        <v>32878</v>
      </c>
      <c r="D25" s="965">
        <v>28909</v>
      </c>
      <c r="E25" s="954">
        <f t="shared" si="0"/>
        <v>87.9</v>
      </c>
      <c r="F25" s="965">
        <v>29233</v>
      </c>
      <c r="G25" s="966">
        <f t="shared" si="0"/>
        <v>88.9</v>
      </c>
      <c r="H25" s="967">
        <v>29775</v>
      </c>
      <c r="I25" s="968">
        <f t="shared" si="0"/>
        <v>90.6</v>
      </c>
      <c r="J25" s="965">
        <v>28904</v>
      </c>
      <c r="K25" s="968">
        <f t="shared" si="1"/>
        <v>87.9</v>
      </c>
      <c r="L25" s="969">
        <v>29208</v>
      </c>
      <c r="M25" s="968">
        <f t="shared" si="2"/>
        <v>88.8</v>
      </c>
      <c r="N25" s="969">
        <v>29758</v>
      </c>
      <c r="O25" s="968">
        <f t="shared" si="3"/>
        <v>90.5</v>
      </c>
      <c r="P25" s="967">
        <v>23749</v>
      </c>
      <c r="Q25" s="968">
        <f t="shared" si="4"/>
        <v>72.2</v>
      </c>
      <c r="R25" s="970">
        <v>23070</v>
      </c>
      <c r="S25" s="968">
        <f t="shared" si="5"/>
        <v>70.2</v>
      </c>
      <c r="T25" s="965">
        <v>28448</v>
      </c>
      <c r="U25" s="968">
        <f t="shared" si="6"/>
        <v>86.5</v>
      </c>
      <c r="V25" s="969">
        <v>28841</v>
      </c>
      <c r="W25" s="954">
        <f t="shared" si="7"/>
        <v>87.7</v>
      </c>
      <c r="X25" s="970">
        <v>24066</v>
      </c>
      <c r="Y25" s="966">
        <f t="shared" si="19"/>
        <v>97.6</v>
      </c>
      <c r="Z25" s="971">
        <v>18318</v>
      </c>
      <c r="AA25" s="968">
        <f t="shared" si="20"/>
        <v>74.3</v>
      </c>
      <c r="AB25" s="965">
        <v>28939</v>
      </c>
      <c r="AC25" s="968">
        <f t="shared" si="8"/>
        <v>88</v>
      </c>
      <c r="AD25" s="969">
        <v>29224</v>
      </c>
      <c r="AE25" s="968">
        <f t="shared" si="9"/>
        <v>88.9</v>
      </c>
      <c r="AF25" s="972">
        <v>32983</v>
      </c>
      <c r="AG25" s="973">
        <v>28691</v>
      </c>
      <c r="AH25" s="954">
        <f t="shared" si="10"/>
        <v>87</v>
      </c>
      <c r="AI25" s="970">
        <v>12502</v>
      </c>
      <c r="AJ25" s="954">
        <f t="shared" si="11"/>
        <v>37.9</v>
      </c>
      <c r="AK25" s="974">
        <v>16425</v>
      </c>
      <c r="AL25" s="968">
        <f t="shared" si="21"/>
        <v>49.8</v>
      </c>
      <c r="AM25" s="967">
        <v>28684</v>
      </c>
      <c r="AN25" s="968">
        <f t="shared" si="12"/>
        <v>87</v>
      </c>
      <c r="AO25" s="975">
        <v>156</v>
      </c>
      <c r="AP25" s="966">
        <f t="shared" si="18"/>
        <v>0.47297092441560801</v>
      </c>
      <c r="AQ25" s="975">
        <v>104</v>
      </c>
      <c r="AR25" s="976">
        <v>239</v>
      </c>
      <c r="AS25" s="981">
        <v>28747</v>
      </c>
      <c r="AT25" s="978">
        <f t="shared" si="22"/>
        <v>87.2</v>
      </c>
      <c r="AU25" s="965">
        <v>27379</v>
      </c>
      <c r="AV25" s="968">
        <f t="shared" si="13"/>
        <v>83</v>
      </c>
      <c r="AW25" s="965">
        <v>27413</v>
      </c>
      <c r="AX25" s="968">
        <f t="shared" si="14"/>
        <v>83.1</v>
      </c>
      <c r="AY25" s="979">
        <v>33254</v>
      </c>
      <c r="AZ25" s="980">
        <v>26778</v>
      </c>
      <c r="BA25" s="968">
        <f t="shared" si="15"/>
        <v>80.5</v>
      </c>
      <c r="BB25" s="967">
        <v>26742</v>
      </c>
      <c r="BC25" s="954">
        <f t="shared" si="16"/>
        <v>80.400000000000006</v>
      </c>
      <c r="BD25" s="965">
        <v>26476</v>
      </c>
      <c r="BE25" s="968">
        <f t="shared" si="17"/>
        <v>79.599999999999994</v>
      </c>
      <c r="BF25" s="965">
        <v>14845</v>
      </c>
      <c r="BG25" s="969">
        <v>18524</v>
      </c>
      <c r="BH25" s="981">
        <v>19343</v>
      </c>
      <c r="BI25" s="963" t="s">
        <v>347</v>
      </c>
      <c r="BK25" s="990" t="s">
        <v>356</v>
      </c>
      <c r="BL25" s="984">
        <f>AE47</f>
        <v>91.4</v>
      </c>
    </row>
    <row r="26" spans="1:64" ht="17.100000000000001" customHeight="1" thickBot="1" x14ac:dyDescent="0.3">
      <c r="A26" s="1137">
        <v>25</v>
      </c>
      <c r="B26" s="1131" t="s">
        <v>122</v>
      </c>
      <c r="C26" s="925">
        <v>37031</v>
      </c>
      <c r="D26" s="965">
        <v>35130</v>
      </c>
      <c r="E26" s="954">
        <f t="shared" si="0"/>
        <v>94.9</v>
      </c>
      <c r="F26" s="965">
        <v>36239</v>
      </c>
      <c r="G26" s="966">
        <f t="shared" si="0"/>
        <v>97.9</v>
      </c>
      <c r="H26" s="967">
        <v>36357</v>
      </c>
      <c r="I26" s="968">
        <f t="shared" si="0"/>
        <v>98.2</v>
      </c>
      <c r="J26" s="965">
        <v>35166</v>
      </c>
      <c r="K26" s="968">
        <f t="shared" si="1"/>
        <v>95</v>
      </c>
      <c r="L26" s="969">
        <v>36257</v>
      </c>
      <c r="M26" s="968">
        <f t="shared" si="2"/>
        <v>97.9</v>
      </c>
      <c r="N26" s="969">
        <v>36375</v>
      </c>
      <c r="O26" s="968">
        <f t="shared" si="3"/>
        <v>98.2</v>
      </c>
      <c r="P26" s="967">
        <v>20210</v>
      </c>
      <c r="Q26" s="968">
        <f t="shared" si="4"/>
        <v>54.6</v>
      </c>
      <c r="R26" s="970">
        <v>20045</v>
      </c>
      <c r="S26" s="968">
        <f t="shared" si="5"/>
        <v>54.1</v>
      </c>
      <c r="T26" s="965">
        <v>35004</v>
      </c>
      <c r="U26" s="968">
        <f t="shared" si="6"/>
        <v>94.5</v>
      </c>
      <c r="V26" s="969">
        <v>36062</v>
      </c>
      <c r="W26" s="954">
        <f t="shared" si="7"/>
        <v>97.4</v>
      </c>
      <c r="X26" s="970">
        <v>26205</v>
      </c>
      <c r="Y26" s="966">
        <f t="shared" si="19"/>
        <v>94.4</v>
      </c>
      <c r="Z26" s="971">
        <v>17287</v>
      </c>
      <c r="AA26" s="968">
        <f t="shared" si="20"/>
        <v>62.2</v>
      </c>
      <c r="AB26" s="965">
        <v>35148</v>
      </c>
      <c r="AC26" s="968">
        <f t="shared" si="8"/>
        <v>94.9</v>
      </c>
      <c r="AD26" s="969">
        <v>36448</v>
      </c>
      <c r="AE26" s="968">
        <f t="shared" si="9"/>
        <v>98.4</v>
      </c>
      <c r="AF26" s="972">
        <v>38177</v>
      </c>
      <c r="AG26" s="973">
        <v>37221</v>
      </c>
      <c r="AH26" s="954">
        <f t="shared" si="10"/>
        <v>97.5</v>
      </c>
      <c r="AI26" s="970">
        <v>17286</v>
      </c>
      <c r="AJ26" s="954">
        <f t="shared" si="11"/>
        <v>45.3</v>
      </c>
      <c r="AK26" s="974">
        <v>21290</v>
      </c>
      <c r="AL26" s="968">
        <f t="shared" si="21"/>
        <v>55.8</v>
      </c>
      <c r="AM26" s="967">
        <v>37051</v>
      </c>
      <c r="AN26" s="968">
        <f t="shared" si="12"/>
        <v>97.1</v>
      </c>
      <c r="AO26" s="975">
        <v>104</v>
      </c>
      <c r="AP26" s="966">
        <f t="shared" si="18"/>
        <v>0.2724153286009901</v>
      </c>
      <c r="AQ26" s="975">
        <v>53</v>
      </c>
      <c r="AR26" s="976">
        <v>285</v>
      </c>
      <c r="AS26" s="981">
        <v>37408</v>
      </c>
      <c r="AT26" s="978">
        <f t="shared" si="22"/>
        <v>98</v>
      </c>
      <c r="AU26" s="965">
        <v>36991</v>
      </c>
      <c r="AV26" s="968">
        <f t="shared" si="13"/>
        <v>96.9</v>
      </c>
      <c r="AW26" s="965">
        <v>37055</v>
      </c>
      <c r="AX26" s="968">
        <f t="shared" si="14"/>
        <v>97.1</v>
      </c>
      <c r="AY26" s="979">
        <v>42494</v>
      </c>
      <c r="AZ26" s="980">
        <v>37747</v>
      </c>
      <c r="BA26" s="968">
        <f t="shared" si="15"/>
        <v>88.8</v>
      </c>
      <c r="BB26" s="967">
        <v>37745</v>
      </c>
      <c r="BC26" s="954">
        <f t="shared" si="16"/>
        <v>88.8</v>
      </c>
      <c r="BD26" s="965">
        <v>37488</v>
      </c>
      <c r="BE26" s="968">
        <f t="shared" si="17"/>
        <v>88.2</v>
      </c>
      <c r="BF26" s="965">
        <v>20278</v>
      </c>
      <c r="BG26" s="969">
        <v>90849</v>
      </c>
      <c r="BH26" s="981">
        <v>13983</v>
      </c>
      <c r="BI26" s="963" t="s">
        <v>345</v>
      </c>
      <c r="BK26" s="991" t="s">
        <v>357</v>
      </c>
      <c r="BL26" s="984">
        <f>W47</f>
        <v>90.7</v>
      </c>
    </row>
    <row r="27" spans="1:64" ht="17.100000000000001" customHeight="1" x14ac:dyDescent="0.25">
      <c r="A27" s="1137">
        <v>94</v>
      </c>
      <c r="B27" s="1131" t="s">
        <v>65</v>
      </c>
      <c r="C27" s="925">
        <v>777</v>
      </c>
      <c r="D27" s="965">
        <v>834</v>
      </c>
      <c r="E27" s="954">
        <f t="shared" si="0"/>
        <v>107.3</v>
      </c>
      <c r="F27" s="965">
        <v>841</v>
      </c>
      <c r="G27" s="966">
        <f t="shared" si="0"/>
        <v>108.2</v>
      </c>
      <c r="H27" s="967">
        <v>715</v>
      </c>
      <c r="I27" s="968">
        <f t="shared" si="0"/>
        <v>92</v>
      </c>
      <c r="J27" s="965">
        <v>836</v>
      </c>
      <c r="K27" s="968">
        <f t="shared" si="1"/>
        <v>107.6</v>
      </c>
      <c r="L27" s="969">
        <v>840</v>
      </c>
      <c r="M27" s="968">
        <f t="shared" si="2"/>
        <v>108.1</v>
      </c>
      <c r="N27" s="969">
        <v>714</v>
      </c>
      <c r="O27" s="968">
        <f t="shared" si="3"/>
        <v>91.9</v>
      </c>
      <c r="P27" s="967">
        <v>827</v>
      </c>
      <c r="Q27" s="968">
        <f t="shared" si="4"/>
        <v>106.4</v>
      </c>
      <c r="R27" s="970">
        <v>644</v>
      </c>
      <c r="S27" s="968">
        <f t="shared" si="5"/>
        <v>82.9</v>
      </c>
      <c r="T27" s="965">
        <v>644</v>
      </c>
      <c r="U27" s="968">
        <f t="shared" si="6"/>
        <v>82.9</v>
      </c>
      <c r="V27" s="969">
        <v>671</v>
      </c>
      <c r="W27" s="954">
        <f t="shared" si="7"/>
        <v>86.4</v>
      </c>
      <c r="X27" s="970">
        <v>598</v>
      </c>
      <c r="Y27" s="966">
        <f t="shared" si="19"/>
        <v>102.6</v>
      </c>
      <c r="Z27" s="971">
        <v>357</v>
      </c>
      <c r="AA27" s="968">
        <f t="shared" si="20"/>
        <v>61.3</v>
      </c>
      <c r="AB27" s="965">
        <v>844</v>
      </c>
      <c r="AC27" s="968">
        <f t="shared" si="8"/>
        <v>108.6</v>
      </c>
      <c r="AD27" s="969">
        <v>832</v>
      </c>
      <c r="AE27" s="968">
        <f t="shared" si="9"/>
        <v>107.1</v>
      </c>
      <c r="AF27" s="972">
        <v>854</v>
      </c>
      <c r="AG27" s="973">
        <v>833</v>
      </c>
      <c r="AH27" s="954">
        <f t="shared" si="10"/>
        <v>97.5</v>
      </c>
      <c r="AI27" s="970">
        <v>313</v>
      </c>
      <c r="AJ27" s="954">
        <f t="shared" si="11"/>
        <v>36.700000000000003</v>
      </c>
      <c r="AK27" s="974">
        <v>525</v>
      </c>
      <c r="AL27" s="968">
        <f t="shared" si="21"/>
        <v>61.5</v>
      </c>
      <c r="AM27" s="967">
        <v>769</v>
      </c>
      <c r="AN27" s="968">
        <f t="shared" si="12"/>
        <v>90</v>
      </c>
      <c r="AO27" s="975">
        <v>47</v>
      </c>
      <c r="AP27" s="966">
        <f t="shared" si="18"/>
        <v>5.5035128805620603</v>
      </c>
      <c r="AQ27" s="975">
        <v>67</v>
      </c>
      <c r="AR27" s="976">
        <v>47</v>
      </c>
      <c r="AS27" s="981">
        <v>839</v>
      </c>
      <c r="AT27" s="978">
        <f t="shared" si="22"/>
        <v>98.2</v>
      </c>
      <c r="AU27" s="965">
        <v>996</v>
      </c>
      <c r="AV27" s="968">
        <f t="shared" si="13"/>
        <v>116.6</v>
      </c>
      <c r="AW27" s="965">
        <v>996</v>
      </c>
      <c r="AX27" s="968">
        <f t="shared" si="14"/>
        <v>116.6</v>
      </c>
      <c r="AY27" s="979">
        <v>867</v>
      </c>
      <c r="AZ27" s="980">
        <v>828</v>
      </c>
      <c r="BA27" s="968">
        <f t="shared" si="15"/>
        <v>95.5</v>
      </c>
      <c r="BB27" s="967">
        <v>827</v>
      </c>
      <c r="BC27" s="954">
        <f t="shared" si="16"/>
        <v>95.4</v>
      </c>
      <c r="BD27" s="965">
        <v>831</v>
      </c>
      <c r="BE27" s="968">
        <f t="shared" si="17"/>
        <v>95.8</v>
      </c>
      <c r="BF27" s="965">
        <v>424</v>
      </c>
      <c r="BG27" s="969">
        <v>1482</v>
      </c>
      <c r="BH27" s="981">
        <v>252</v>
      </c>
      <c r="BI27" s="963" t="s">
        <v>344</v>
      </c>
      <c r="BK27" s="988" t="s">
        <v>358</v>
      </c>
      <c r="BL27" s="992">
        <f>C59</f>
        <v>100</v>
      </c>
    </row>
    <row r="28" spans="1:64" ht="17.100000000000001" customHeight="1" x14ac:dyDescent="0.25">
      <c r="A28" s="1137">
        <v>95</v>
      </c>
      <c r="B28" s="1133" t="s">
        <v>26</v>
      </c>
      <c r="C28" s="925">
        <v>1381</v>
      </c>
      <c r="D28" s="965">
        <v>1255</v>
      </c>
      <c r="E28" s="954">
        <f t="shared" si="0"/>
        <v>90.9</v>
      </c>
      <c r="F28" s="965">
        <v>1256</v>
      </c>
      <c r="G28" s="966">
        <f t="shared" si="0"/>
        <v>90.9</v>
      </c>
      <c r="H28" s="967">
        <v>1256</v>
      </c>
      <c r="I28" s="968">
        <f t="shared" si="0"/>
        <v>90.9</v>
      </c>
      <c r="J28" s="965">
        <v>1257</v>
      </c>
      <c r="K28" s="968">
        <f t="shared" si="1"/>
        <v>91</v>
      </c>
      <c r="L28" s="969">
        <v>1256</v>
      </c>
      <c r="M28" s="968">
        <f t="shared" si="2"/>
        <v>90.9</v>
      </c>
      <c r="N28" s="969">
        <v>1256</v>
      </c>
      <c r="O28" s="968">
        <f t="shared" si="3"/>
        <v>90.9</v>
      </c>
      <c r="P28" s="967">
        <v>1235</v>
      </c>
      <c r="Q28" s="968">
        <f t="shared" si="4"/>
        <v>89.4</v>
      </c>
      <c r="R28" s="970">
        <v>1197</v>
      </c>
      <c r="S28" s="968">
        <f t="shared" si="5"/>
        <v>86.7</v>
      </c>
      <c r="T28" s="965">
        <v>1216</v>
      </c>
      <c r="U28" s="968">
        <f t="shared" si="6"/>
        <v>88.1</v>
      </c>
      <c r="V28" s="969">
        <v>1230</v>
      </c>
      <c r="W28" s="954">
        <f t="shared" si="7"/>
        <v>89.1</v>
      </c>
      <c r="X28" s="970">
        <v>576</v>
      </c>
      <c r="Y28" s="966">
        <f t="shared" si="19"/>
        <v>55.6</v>
      </c>
      <c r="Z28" s="971">
        <v>435</v>
      </c>
      <c r="AA28" s="968">
        <f t="shared" si="20"/>
        <v>42</v>
      </c>
      <c r="AB28" s="965">
        <v>1252</v>
      </c>
      <c r="AC28" s="968">
        <f t="shared" si="8"/>
        <v>90.7</v>
      </c>
      <c r="AD28" s="969">
        <v>1255</v>
      </c>
      <c r="AE28" s="968">
        <f t="shared" si="9"/>
        <v>90.9</v>
      </c>
      <c r="AF28" s="972">
        <v>1450</v>
      </c>
      <c r="AG28" s="973">
        <v>1315</v>
      </c>
      <c r="AH28" s="954">
        <f t="shared" si="10"/>
        <v>90.7</v>
      </c>
      <c r="AI28" s="970">
        <v>551</v>
      </c>
      <c r="AJ28" s="954">
        <f t="shared" si="11"/>
        <v>38</v>
      </c>
      <c r="AK28" s="974">
        <v>778</v>
      </c>
      <c r="AL28" s="968">
        <f t="shared" si="21"/>
        <v>53.7</v>
      </c>
      <c r="AM28" s="967">
        <v>1306</v>
      </c>
      <c r="AN28" s="968">
        <f t="shared" si="12"/>
        <v>90.1</v>
      </c>
      <c r="AO28" s="975">
        <v>2</v>
      </c>
      <c r="AP28" s="966">
        <f t="shared" si="18"/>
        <v>0.13793103448275862</v>
      </c>
      <c r="AQ28" s="975">
        <v>11</v>
      </c>
      <c r="AR28" s="976">
        <v>8</v>
      </c>
      <c r="AS28" s="981">
        <v>1313</v>
      </c>
      <c r="AT28" s="978">
        <f t="shared" si="22"/>
        <v>90.6</v>
      </c>
      <c r="AU28" s="965">
        <v>1321</v>
      </c>
      <c r="AV28" s="968">
        <f t="shared" si="13"/>
        <v>91.1</v>
      </c>
      <c r="AW28" s="965">
        <v>1321</v>
      </c>
      <c r="AX28" s="968">
        <f t="shared" si="14"/>
        <v>91.1</v>
      </c>
      <c r="AY28" s="979">
        <v>1791</v>
      </c>
      <c r="AZ28" s="980">
        <v>1366</v>
      </c>
      <c r="BA28" s="968">
        <f t="shared" si="15"/>
        <v>76.3</v>
      </c>
      <c r="BB28" s="967">
        <v>1373</v>
      </c>
      <c r="BC28" s="954">
        <f t="shared" si="16"/>
        <v>76.7</v>
      </c>
      <c r="BD28" s="965">
        <v>1356</v>
      </c>
      <c r="BE28" s="968">
        <f t="shared" si="17"/>
        <v>75.7</v>
      </c>
      <c r="BF28" s="965">
        <v>718</v>
      </c>
      <c r="BG28" s="969">
        <v>2130</v>
      </c>
      <c r="BH28" s="981">
        <v>758</v>
      </c>
      <c r="BI28" s="963" t="s">
        <v>344</v>
      </c>
    </row>
    <row r="29" spans="1:64" ht="17.100000000000001" customHeight="1" x14ac:dyDescent="0.25">
      <c r="A29" s="1137">
        <v>41</v>
      </c>
      <c r="B29" s="1133" t="s">
        <v>27</v>
      </c>
      <c r="C29" s="925">
        <v>21267</v>
      </c>
      <c r="D29" s="965">
        <v>19555</v>
      </c>
      <c r="E29" s="954">
        <f t="shared" si="0"/>
        <v>91.9</v>
      </c>
      <c r="F29" s="965">
        <v>19407</v>
      </c>
      <c r="G29" s="966">
        <f t="shared" si="0"/>
        <v>91.3</v>
      </c>
      <c r="H29" s="967">
        <v>19118</v>
      </c>
      <c r="I29" s="968">
        <f t="shared" si="0"/>
        <v>89.9</v>
      </c>
      <c r="J29" s="965">
        <v>19570</v>
      </c>
      <c r="K29" s="968">
        <f t="shared" si="1"/>
        <v>92</v>
      </c>
      <c r="L29" s="969">
        <v>19404</v>
      </c>
      <c r="M29" s="968">
        <f t="shared" si="2"/>
        <v>91.2</v>
      </c>
      <c r="N29" s="969">
        <v>19112</v>
      </c>
      <c r="O29" s="968">
        <f t="shared" si="3"/>
        <v>89.9</v>
      </c>
      <c r="P29" s="967">
        <v>20027</v>
      </c>
      <c r="Q29" s="968">
        <f t="shared" si="4"/>
        <v>94.2</v>
      </c>
      <c r="R29" s="970">
        <v>19954</v>
      </c>
      <c r="S29" s="968">
        <f t="shared" si="5"/>
        <v>93.8</v>
      </c>
      <c r="T29" s="965">
        <v>19277</v>
      </c>
      <c r="U29" s="968">
        <f t="shared" si="6"/>
        <v>90.6</v>
      </c>
      <c r="V29" s="969">
        <v>19219</v>
      </c>
      <c r="W29" s="954">
        <f t="shared" si="7"/>
        <v>90.4</v>
      </c>
      <c r="X29" s="970">
        <v>15454</v>
      </c>
      <c r="Y29" s="966">
        <f t="shared" si="19"/>
        <v>96.9</v>
      </c>
      <c r="Z29" s="971">
        <v>11498</v>
      </c>
      <c r="AA29" s="968">
        <f t="shared" si="20"/>
        <v>72.099999999999994</v>
      </c>
      <c r="AB29" s="965">
        <v>19548</v>
      </c>
      <c r="AC29" s="968">
        <f t="shared" si="8"/>
        <v>91.9</v>
      </c>
      <c r="AD29" s="969">
        <v>19405</v>
      </c>
      <c r="AE29" s="968">
        <f t="shared" si="9"/>
        <v>91.2</v>
      </c>
      <c r="AF29" s="972">
        <v>21452</v>
      </c>
      <c r="AG29" s="973">
        <v>19660</v>
      </c>
      <c r="AH29" s="954">
        <f t="shared" si="10"/>
        <v>91.6</v>
      </c>
      <c r="AI29" s="970">
        <v>8739</v>
      </c>
      <c r="AJ29" s="954">
        <f t="shared" si="11"/>
        <v>40.700000000000003</v>
      </c>
      <c r="AK29" s="974">
        <v>10967</v>
      </c>
      <c r="AL29" s="968">
        <f t="shared" si="21"/>
        <v>51.1</v>
      </c>
      <c r="AM29" s="967">
        <v>19600</v>
      </c>
      <c r="AN29" s="968">
        <f t="shared" si="12"/>
        <v>91.4</v>
      </c>
      <c r="AO29" s="975">
        <v>31</v>
      </c>
      <c r="AP29" s="966">
        <f t="shared" si="18"/>
        <v>0.1445086705202312</v>
      </c>
      <c r="AQ29" s="975">
        <v>59</v>
      </c>
      <c r="AR29" s="976">
        <v>67</v>
      </c>
      <c r="AS29" s="981">
        <v>19684</v>
      </c>
      <c r="AT29" s="978">
        <f t="shared" si="22"/>
        <v>91.8</v>
      </c>
      <c r="AU29" s="965">
        <v>19829</v>
      </c>
      <c r="AV29" s="968">
        <f t="shared" si="13"/>
        <v>92.4</v>
      </c>
      <c r="AW29" s="965">
        <v>19827</v>
      </c>
      <c r="AX29" s="968">
        <f t="shared" si="14"/>
        <v>92.4</v>
      </c>
      <c r="AY29" s="979">
        <v>21049</v>
      </c>
      <c r="AZ29" s="980">
        <v>17523</v>
      </c>
      <c r="BA29" s="968">
        <f t="shared" si="15"/>
        <v>83.2</v>
      </c>
      <c r="BB29" s="967">
        <v>17536</v>
      </c>
      <c r="BC29" s="954">
        <f t="shared" si="16"/>
        <v>83.3</v>
      </c>
      <c r="BD29" s="965">
        <v>17541</v>
      </c>
      <c r="BE29" s="968">
        <f t="shared" si="17"/>
        <v>83.3</v>
      </c>
      <c r="BF29" s="965">
        <v>7649</v>
      </c>
      <c r="BG29" s="969">
        <v>42474</v>
      </c>
      <c r="BH29" s="981">
        <v>12690</v>
      </c>
      <c r="BI29" s="963" t="s">
        <v>345</v>
      </c>
    </row>
    <row r="30" spans="1:64" ht="17.100000000000001" customHeight="1" x14ac:dyDescent="0.25">
      <c r="A30" s="1137">
        <v>44</v>
      </c>
      <c r="B30" s="1133" t="s">
        <v>124</v>
      </c>
      <c r="C30" s="925">
        <v>20723</v>
      </c>
      <c r="D30" s="965">
        <v>17796</v>
      </c>
      <c r="E30" s="954">
        <f t="shared" si="0"/>
        <v>85.9</v>
      </c>
      <c r="F30" s="965">
        <v>17094</v>
      </c>
      <c r="G30" s="966">
        <f t="shared" si="0"/>
        <v>82.5</v>
      </c>
      <c r="H30" s="967">
        <v>16664</v>
      </c>
      <c r="I30" s="968">
        <f t="shared" si="0"/>
        <v>80.400000000000006</v>
      </c>
      <c r="J30" s="965">
        <v>17831</v>
      </c>
      <c r="K30" s="968">
        <f t="shared" si="1"/>
        <v>86</v>
      </c>
      <c r="L30" s="969">
        <v>17099</v>
      </c>
      <c r="M30" s="968">
        <f t="shared" si="2"/>
        <v>82.5</v>
      </c>
      <c r="N30" s="969">
        <v>16680</v>
      </c>
      <c r="O30" s="968">
        <f t="shared" si="3"/>
        <v>80.5</v>
      </c>
      <c r="P30" s="967">
        <v>17520</v>
      </c>
      <c r="Q30" s="968">
        <f t="shared" si="4"/>
        <v>84.5</v>
      </c>
      <c r="R30" s="970">
        <v>15596</v>
      </c>
      <c r="S30" s="968">
        <f t="shared" si="5"/>
        <v>75.3</v>
      </c>
      <c r="T30" s="965">
        <v>15751</v>
      </c>
      <c r="U30" s="968">
        <f t="shared" si="6"/>
        <v>76</v>
      </c>
      <c r="V30" s="969">
        <v>15802</v>
      </c>
      <c r="W30" s="954">
        <f t="shared" si="7"/>
        <v>76.3</v>
      </c>
      <c r="X30" s="970">
        <v>14752</v>
      </c>
      <c r="Y30" s="966">
        <f t="shared" si="19"/>
        <v>94.9</v>
      </c>
      <c r="Z30" s="971">
        <v>9174</v>
      </c>
      <c r="AA30" s="968">
        <f t="shared" si="20"/>
        <v>59</v>
      </c>
      <c r="AB30" s="965">
        <v>17891</v>
      </c>
      <c r="AC30" s="968">
        <f t="shared" si="8"/>
        <v>86.3</v>
      </c>
      <c r="AD30" s="969">
        <v>17083</v>
      </c>
      <c r="AE30" s="968">
        <f t="shared" si="9"/>
        <v>82.4</v>
      </c>
      <c r="AF30" s="972">
        <v>20778</v>
      </c>
      <c r="AG30" s="973">
        <v>18073</v>
      </c>
      <c r="AH30" s="954">
        <f t="shared" si="10"/>
        <v>87</v>
      </c>
      <c r="AI30" s="970">
        <v>7639</v>
      </c>
      <c r="AJ30" s="954">
        <f t="shared" si="11"/>
        <v>36.799999999999997</v>
      </c>
      <c r="AK30" s="974">
        <v>10531</v>
      </c>
      <c r="AL30" s="968">
        <f t="shared" si="21"/>
        <v>50.7</v>
      </c>
      <c r="AM30" s="967">
        <v>17850</v>
      </c>
      <c r="AN30" s="968">
        <f t="shared" si="12"/>
        <v>85.9</v>
      </c>
      <c r="AO30" s="975">
        <v>535</v>
      </c>
      <c r="AP30" s="966">
        <f t="shared" si="18"/>
        <v>2.5748387717778423</v>
      </c>
      <c r="AQ30" s="975">
        <v>656</v>
      </c>
      <c r="AR30" s="976">
        <v>993</v>
      </c>
      <c r="AS30" s="981">
        <v>18141</v>
      </c>
      <c r="AT30" s="978">
        <f t="shared" si="22"/>
        <v>87.3</v>
      </c>
      <c r="AU30" s="965">
        <v>17220</v>
      </c>
      <c r="AV30" s="968">
        <f t="shared" si="13"/>
        <v>82.9</v>
      </c>
      <c r="AW30" s="965">
        <v>17118</v>
      </c>
      <c r="AX30" s="968">
        <f t="shared" si="14"/>
        <v>82.4</v>
      </c>
      <c r="AY30" s="979">
        <v>20381</v>
      </c>
      <c r="AZ30" s="980">
        <v>14811</v>
      </c>
      <c r="BA30" s="968">
        <f t="shared" si="15"/>
        <v>72.7</v>
      </c>
      <c r="BB30" s="967">
        <v>14877</v>
      </c>
      <c r="BC30" s="954">
        <f t="shared" si="16"/>
        <v>73</v>
      </c>
      <c r="BD30" s="965">
        <v>14856</v>
      </c>
      <c r="BE30" s="968">
        <f t="shared" si="17"/>
        <v>72.900000000000006</v>
      </c>
      <c r="BF30" s="965">
        <v>1303</v>
      </c>
      <c r="BG30" s="969">
        <v>7747</v>
      </c>
      <c r="BH30" s="981">
        <v>8678</v>
      </c>
      <c r="BI30" s="963" t="s">
        <v>347</v>
      </c>
    </row>
    <row r="31" spans="1:64" ht="17.100000000000001" customHeight="1" x14ac:dyDescent="0.25">
      <c r="A31" s="1137">
        <v>47</v>
      </c>
      <c r="B31" s="1133" t="s">
        <v>28</v>
      </c>
      <c r="C31" s="925">
        <v>18109</v>
      </c>
      <c r="D31" s="965">
        <v>16460</v>
      </c>
      <c r="E31" s="954">
        <f t="shared" si="0"/>
        <v>90.9</v>
      </c>
      <c r="F31" s="965">
        <v>16619</v>
      </c>
      <c r="G31" s="966">
        <f t="shared" si="0"/>
        <v>91.8</v>
      </c>
      <c r="H31" s="967">
        <v>16776</v>
      </c>
      <c r="I31" s="968">
        <f t="shared" si="0"/>
        <v>92.6</v>
      </c>
      <c r="J31" s="965">
        <v>16473</v>
      </c>
      <c r="K31" s="968">
        <f t="shared" si="1"/>
        <v>91</v>
      </c>
      <c r="L31" s="969">
        <v>16657</v>
      </c>
      <c r="M31" s="968">
        <f t="shared" si="2"/>
        <v>92</v>
      </c>
      <c r="N31" s="969">
        <v>16827</v>
      </c>
      <c r="O31" s="968">
        <f t="shared" si="3"/>
        <v>92.9</v>
      </c>
      <c r="P31" s="967">
        <v>14111</v>
      </c>
      <c r="Q31" s="968">
        <f t="shared" si="4"/>
        <v>77.900000000000006</v>
      </c>
      <c r="R31" s="970">
        <v>13584</v>
      </c>
      <c r="S31" s="968">
        <f t="shared" si="5"/>
        <v>75</v>
      </c>
      <c r="T31" s="965">
        <v>16079</v>
      </c>
      <c r="U31" s="968">
        <f t="shared" si="6"/>
        <v>88.8</v>
      </c>
      <c r="V31" s="969">
        <v>16426</v>
      </c>
      <c r="W31" s="954">
        <f t="shared" si="7"/>
        <v>90.7</v>
      </c>
      <c r="X31" s="970">
        <v>13336</v>
      </c>
      <c r="Y31" s="966">
        <f t="shared" si="19"/>
        <v>98.2</v>
      </c>
      <c r="Z31" s="971">
        <v>9022</v>
      </c>
      <c r="AA31" s="968">
        <f t="shared" si="20"/>
        <v>66.400000000000006</v>
      </c>
      <c r="AB31" s="965">
        <v>16495</v>
      </c>
      <c r="AC31" s="968">
        <f t="shared" si="8"/>
        <v>91.1</v>
      </c>
      <c r="AD31" s="969">
        <v>16677</v>
      </c>
      <c r="AE31" s="968">
        <f t="shared" si="9"/>
        <v>92.1</v>
      </c>
      <c r="AF31" s="972">
        <v>18276</v>
      </c>
      <c r="AG31" s="973">
        <v>17400</v>
      </c>
      <c r="AH31" s="954">
        <f t="shared" si="10"/>
        <v>95.2</v>
      </c>
      <c r="AI31" s="970">
        <v>7516</v>
      </c>
      <c r="AJ31" s="954">
        <f t="shared" si="11"/>
        <v>41.1</v>
      </c>
      <c r="AK31" s="974">
        <v>10674</v>
      </c>
      <c r="AL31" s="968">
        <f t="shared" si="21"/>
        <v>58.4</v>
      </c>
      <c r="AM31" s="967">
        <v>17222</v>
      </c>
      <c r="AN31" s="968">
        <f t="shared" si="12"/>
        <v>94.2</v>
      </c>
      <c r="AO31" s="975">
        <v>101</v>
      </c>
      <c r="AP31" s="966">
        <f t="shared" si="18"/>
        <v>0.55263733858612385</v>
      </c>
      <c r="AQ31" s="975">
        <v>179</v>
      </c>
      <c r="AR31" s="976">
        <v>183</v>
      </c>
      <c r="AS31" s="981">
        <v>17445</v>
      </c>
      <c r="AT31" s="978">
        <f t="shared" si="22"/>
        <v>95.5</v>
      </c>
      <c r="AU31" s="965">
        <v>16758</v>
      </c>
      <c r="AV31" s="968">
        <f t="shared" si="13"/>
        <v>91.7</v>
      </c>
      <c r="AW31" s="965">
        <v>17083</v>
      </c>
      <c r="AX31" s="968">
        <f t="shared" si="14"/>
        <v>93.5</v>
      </c>
      <c r="AY31" s="979">
        <v>17915</v>
      </c>
      <c r="AZ31" s="980">
        <v>16536</v>
      </c>
      <c r="BA31" s="968">
        <f t="shared" si="15"/>
        <v>92.3</v>
      </c>
      <c r="BB31" s="967">
        <v>16698</v>
      </c>
      <c r="BC31" s="954">
        <f t="shared" si="16"/>
        <v>93.2</v>
      </c>
      <c r="BD31" s="965">
        <v>16489</v>
      </c>
      <c r="BE31" s="968">
        <f t="shared" si="17"/>
        <v>92</v>
      </c>
      <c r="BF31" s="965">
        <v>3901</v>
      </c>
      <c r="BG31" s="969">
        <v>21200</v>
      </c>
      <c r="BH31" s="981">
        <v>9285</v>
      </c>
      <c r="BI31" s="963" t="s">
        <v>347</v>
      </c>
    </row>
    <row r="32" spans="1:64" ht="17.100000000000001" customHeight="1" x14ac:dyDescent="0.25">
      <c r="A32" s="1137">
        <v>47001</v>
      </c>
      <c r="B32" s="1132" t="s">
        <v>127</v>
      </c>
      <c r="C32" s="925">
        <v>9075</v>
      </c>
      <c r="D32" s="965">
        <v>8496</v>
      </c>
      <c r="E32" s="954">
        <f t="shared" si="0"/>
        <v>93.6</v>
      </c>
      <c r="F32" s="965">
        <v>8292</v>
      </c>
      <c r="G32" s="966">
        <f t="shared" si="0"/>
        <v>91.4</v>
      </c>
      <c r="H32" s="967">
        <v>7769</v>
      </c>
      <c r="I32" s="968">
        <f t="shared" si="0"/>
        <v>85.6</v>
      </c>
      <c r="J32" s="965">
        <v>8610</v>
      </c>
      <c r="K32" s="968">
        <f t="shared" si="1"/>
        <v>94.9</v>
      </c>
      <c r="L32" s="969">
        <v>8173</v>
      </c>
      <c r="M32" s="968">
        <f t="shared" si="2"/>
        <v>90.1</v>
      </c>
      <c r="N32" s="969">
        <v>7706</v>
      </c>
      <c r="O32" s="968">
        <f t="shared" si="3"/>
        <v>84.9</v>
      </c>
      <c r="P32" s="967">
        <v>9883</v>
      </c>
      <c r="Q32" s="968">
        <f t="shared" si="4"/>
        <v>108.9</v>
      </c>
      <c r="R32" s="970">
        <v>9696</v>
      </c>
      <c r="S32" s="968">
        <f t="shared" si="5"/>
        <v>106.8</v>
      </c>
      <c r="T32" s="965">
        <v>8079</v>
      </c>
      <c r="U32" s="968">
        <f t="shared" si="6"/>
        <v>89</v>
      </c>
      <c r="V32" s="969">
        <v>7851</v>
      </c>
      <c r="W32" s="954">
        <f t="shared" si="7"/>
        <v>86.5</v>
      </c>
      <c r="X32" s="970">
        <v>6808</v>
      </c>
      <c r="Y32" s="966">
        <f t="shared" si="19"/>
        <v>100</v>
      </c>
      <c r="Z32" s="971">
        <v>4885</v>
      </c>
      <c r="AA32" s="968">
        <f t="shared" si="20"/>
        <v>71.8</v>
      </c>
      <c r="AB32" s="965">
        <v>8498</v>
      </c>
      <c r="AC32" s="968">
        <f t="shared" si="8"/>
        <v>93.6</v>
      </c>
      <c r="AD32" s="969">
        <v>8183</v>
      </c>
      <c r="AE32" s="968">
        <f t="shared" si="9"/>
        <v>90.2</v>
      </c>
      <c r="AF32" s="972">
        <v>9036</v>
      </c>
      <c r="AG32" s="973">
        <v>8599</v>
      </c>
      <c r="AH32" s="954">
        <f t="shared" si="10"/>
        <v>95.2</v>
      </c>
      <c r="AI32" s="970">
        <v>3437</v>
      </c>
      <c r="AJ32" s="954">
        <f t="shared" si="11"/>
        <v>38</v>
      </c>
      <c r="AK32" s="974">
        <v>5336</v>
      </c>
      <c r="AL32" s="968">
        <f t="shared" si="21"/>
        <v>59.1</v>
      </c>
      <c r="AM32" s="967">
        <v>8073</v>
      </c>
      <c r="AN32" s="968">
        <f t="shared" si="12"/>
        <v>89.3</v>
      </c>
      <c r="AO32" s="975">
        <v>161</v>
      </c>
      <c r="AP32" s="966">
        <f t="shared" si="18"/>
        <v>1.7817618415227978</v>
      </c>
      <c r="AQ32" s="975">
        <v>163</v>
      </c>
      <c r="AR32" s="976">
        <v>252</v>
      </c>
      <c r="AS32" s="981">
        <v>8591</v>
      </c>
      <c r="AT32" s="978">
        <f t="shared" si="22"/>
        <v>95.1</v>
      </c>
      <c r="AU32" s="965">
        <v>8377</v>
      </c>
      <c r="AV32" s="968">
        <f t="shared" si="13"/>
        <v>92.7</v>
      </c>
      <c r="AW32" s="965">
        <v>8687</v>
      </c>
      <c r="AX32" s="968">
        <f t="shared" si="14"/>
        <v>96.1</v>
      </c>
      <c r="AY32" s="979">
        <v>8934</v>
      </c>
      <c r="AZ32" s="980">
        <v>6189</v>
      </c>
      <c r="BA32" s="968">
        <f>ROUND(AZ32/$AY32*100,1)</f>
        <v>69.3</v>
      </c>
      <c r="BB32" s="967">
        <v>6569</v>
      </c>
      <c r="BC32" s="954">
        <f>ROUND(BB32/$AY32*100,1)</f>
        <v>73.5</v>
      </c>
      <c r="BD32" s="965">
        <v>6324</v>
      </c>
      <c r="BE32" s="968">
        <f>ROUND(BD32/$AY32*100,1)</f>
        <v>70.8</v>
      </c>
      <c r="BF32" s="965">
        <v>2593</v>
      </c>
      <c r="BG32" s="969">
        <v>6331</v>
      </c>
      <c r="BH32" s="981">
        <v>4411</v>
      </c>
      <c r="BI32" s="963" t="s">
        <v>347</v>
      </c>
    </row>
    <row r="33" spans="1:64" ht="17.100000000000001" customHeight="1" x14ac:dyDescent="0.25">
      <c r="A33" s="1137">
        <v>50</v>
      </c>
      <c r="B33" s="1131" t="s">
        <v>29</v>
      </c>
      <c r="C33" s="925">
        <v>17001</v>
      </c>
      <c r="D33" s="965">
        <v>14346</v>
      </c>
      <c r="E33" s="954">
        <f t="shared" si="0"/>
        <v>84.4</v>
      </c>
      <c r="F33" s="965">
        <v>15296</v>
      </c>
      <c r="G33" s="966">
        <f t="shared" si="0"/>
        <v>90</v>
      </c>
      <c r="H33" s="967">
        <v>14951</v>
      </c>
      <c r="I33" s="968">
        <f t="shared" si="0"/>
        <v>87.9</v>
      </c>
      <c r="J33" s="965">
        <v>15747</v>
      </c>
      <c r="K33" s="968">
        <f t="shared" si="1"/>
        <v>92.6</v>
      </c>
      <c r="L33" s="967">
        <v>15294</v>
      </c>
      <c r="M33" s="968">
        <f t="shared" si="2"/>
        <v>90</v>
      </c>
      <c r="N33" s="967">
        <v>14916</v>
      </c>
      <c r="O33" s="968">
        <f t="shared" si="3"/>
        <v>87.7</v>
      </c>
      <c r="P33" s="967">
        <v>15607</v>
      </c>
      <c r="Q33" s="968">
        <f t="shared" si="4"/>
        <v>91.8</v>
      </c>
      <c r="R33" s="970">
        <v>15302</v>
      </c>
      <c r="S33" s="968">
        <f t="shared" si="5"/>
        <v>90</v>
      </c>
      <c r="T33" s="965">
        <v>15687</v>
      </c>
      <c r="U33" s="968">
        <f t="shared" si="6"/>
        <v>92.3</v>
      </c>
      <c r="V33" s="967">
        <v>14980</v>
      </c>
      <c r="W33" s="954">
        <f t="shared" si="7"/>
        <v>88.1</v>
      </c>
      <c r="X33" s="970">
        <v>9484</v>
      </c>
      <c r="Y33" s="966">
        <f t="shared" si="19"/>
        <v>74.400000000000006</v>
      </c>
      <c r="Z33" s="971">
        <v>6281</v>
      </c>
      <c r="AA33" s="968">
        <f t="shared" si="20"/>
        <v>49.3</v>
      </c>
      <c r="AB33" s="965">
        <v>15723</v>
      </c>
      <c r="AC33" s="968">
        <f t="shared" si="8"/>
        <v>92.5</v>
      </c>
      <c r="AD33" s="969">
        <v>14839</v>
      </c>
      <c r="AE33" s="968">
        <f t="shared" si="9"/>
        <v>87.3</v>
      </c>
      <c r="AF33" s="972">
        <v>17340</v>
      </c>
      <c r="AG33" s="973">
        <v>14919</v>
      </c>
      <c r="AH33" s="954">
        <f t="shared" si="10"/>
        <v>86</v>
      </c>
      <c r="AI33" s="970">
        <v>6314</v>
      </c>
      <c r="AJ33" s="954">
        <f t="shared" si="11"/>
        <v>36.4</v>
      </c>
      <c r="AK33" s="974">
        <v>8936</v>
      </c>
      <c r="AL33" s="968">
        <f t="shared" si="21"/>
        <v>51.5</v>
      </c>
      <c r="AM33" s="967">
        <v>14520</v>
      </c>
      <c r="AN33" s="968">
        <f t="shared" si="12"/>
        <v>83.7</v>
      </c>
      <c r="AO33" s="975">
        <v>82</v>
      </c>
      <c r="AP33" s="966">
        <f t="shared" si="18"/>
        <v>0.4728950403690888</v>
      </c>
      <c r="AQ33" s="975">
        <v>1348</v>
      </c>
      <c r="AR33" s="976">
        <v>461</v>
      </c>
      <c r="AS33" s="981">
        <v>15086</v>
      </c>
      <c r="AT33" s="978">
        <f t="shared" si="22"/>
        <v>87</v>
      </c>
      <c r="AU33" s="965">
        <v>15280</v>
      </c>
      <c r="AV33" s="968">
        <f t="shared" si="13"/>
        <v>88.1</v>
      </c>
      <c r="AW33" s="965">
        <v>14755</v>
      </c>
      <c r="AX33" s="968">
        <f t="shared" si="14"/>
        <v>85.1</v>
      </c>
      <c r="AY33" s="979">
        <v>17499</v>
      </c>
      <c r="AZ33" s="980">
        <v>13837</v>
      </c>
      <c r="BA33" s="968">
        <f t="shared" si="15"/>
        <v>79.099999999999994</v>
      </c>
      <c r="BB33" s="967">
        <v>13805</v>
      </c>
      <c r="BC33" s="954">
        <f t="shared" si="16"/>
        <v>78.900000000000006</v>
      </c>
      <c r="BD33" s="965">
        <v>14228</v>
      </c>
      <c r="BE33" s="968">
        <f t="shared" si="17"/>
        <v>81.3</v>
      </c>
      <c r="BF33" s="965">
        <v>4016</v>
      </c>
      <c r="BG33" s="969">
        <v>18139</v>
      </c>
      <c r="BH33" s="981">
        <v>8044</v>
      </c>
      <c r="BI33" s="963" t="s">
        <v>346</v>
      </c>
    </row>
    <row r="34" spans="1:64" ht="17.100000000000001" customHeight="1" x14ac:dyDescent="0.25">
      <c r="A34" s="1137">
        <v>52</v>
      </c>
      <c r="B34" s="1133" t="s">
        <v>30</v>
      </c>
      <c r="C34" s="925">
        <v>21594</v>
      </c>
      <c r="D34" s="965">
        <v>19503</v>
      </c>
      <c r="E34" s="954">
        <f t="shared" si="0"/>
        <v>90.3</v>
      </c>
      <c r="F34" s="965">
        <v>19457</v>
      </c>
      <c r="G34" s="966">
        <f t="shared" si="0"/>
        <v>90.1</v>
      </c>
      <c r="H34" s="967">
        <v>19711</v>
      </c>
      <c r="I34" s="968">
        <f t="shared" si="0"/>
        <v>91.3</v>
      </c>
      <c r="J34" s="965">
        <v>19532</v>
      </c>
      <c r="K34" s="968">
        <f t="shared" si="1"/>
        <v>90.5</v>
      </c>
      <c r="L34" s="969">
        <v>19477</v>
      </c>
      <c r="M34" s="968">
        <f t="shared" si="2"/>
        <v>90.2</v>
      </c>
      <c r="N34" s="969">
        <v>19719</v>
      </c>
      <c r="O34" s="968">
        <f t="shared" si="3"/>
        <v>91.3</v>
      </c>
      <c r="P34" s="967">
        <v>19572</v>
      </c>
      <c r="Q34" s="968">
        <f t="shared" si="4"/>
        <v>90.6</v>
      </c>
      <c r="R34" s="970">
        <v>19043</v>
      </c>
      <c r="S34" s="968">
        <f t="shared" si="5"/>
        <v>88.2</v>
      </c>
      <c r="T34" s="965">
        <v>18979</v>
      </c>
      <c r="U34" s="968">
        <f t="shared" si="6"/>
        <v>87.9</v>
      </c>
      <c r="V34" s="969">
        <v>19075</v>
      </c>
      <c r="W34" s="954">
        <f t="shared" si="7"/>
        <v>88.3</v>
      </c>
      <c r="X34" s="970">
        <v>15106</v>
      </c>
      <c r="Y34" s="966">
        <f t="shared" si="19"/>
        <v>93.3</v>
      </c>
      <c r="Z34" s="971">
        <v>12195</v>
      </c>
      <c r="AA34" s="968">
        <f t="shared" si="20"/>
        <v>75.3</v>
      </c>
      <c r="AB34" s="965">
        <v>19558</v>
      </c>
      <c r="AC34" s="968">
        <f t="shared" si="8"/>
        <v>90.6</v>
      </c>
      <c r="AD34" s="969">
        <v>19492</v>
      </c>
      <c r="AE34" s="968">
        <f t="shared" si="9"/>
        <v>90.3</v>
      </c>
      <c r="AF34" s="972">
        <v>21471</v>
      </c>
      <c r="AG34" s="973">
        <v>20293</v>
      </c>
      <c r="AH34" s="954">
        <f t="shared" si="10"/>
        <v>94.5</v>
      </c>
      <c r="AI34" s="970">
        <v>9425</v>
      </c>
      <c r="AJ34" s="954">
        <f t="shared" si="11"/>
        <v>43.9</v>
      </c>
      <c r="AK34" s="974">
        <v>11393</v>
      </c>
      <c r="AL34" s="968">
        <f t="shared" si="21"/>
        <v>53.1</v>
      </c>
      <c r="AM34" s="967">
        <v>20156</v>
      </c>
      <c r="AN34" s="968">
        <f t="shared" si="12"/>
        <v>93.9</v>
      </c>
      <c r="AO34" s="975">
        <v>71</v>
      </c>
      <c r="AP34" s="966">
        <f t="shared" si="18"/>
        <v>0.33067858972567649</v>
      </c>
      <c r="AQ34" s="975">
        <v>130</v>
      </c>
      <c r="AR34" s="976">
        <v>145</v>
      </c>
      <c r="AS34" s="981">
        <v>20364</v>
      </c>
      <c r="AT34" s="978">
        <f t="shared" si="22"/>
        <v>94.8</v>
      </c>
      <c r="AU34" s="965">
        <v>19973</v>
      </c>
      <c r="AV34" s="968">
        <f t="shared" si="13"/>
        <v>93</v>
      </c>
      <c r="AW34" s="965">
        <v>19979</v>
      </c>
      <c r="AX34" s="968">
        <f t="shared" si="14"/>
        <v>93.1</v>
      </c>
      <c r="AY34" s="979">
        <v>23529</v>
      </c>
      <c r="AZ34" s="980">
        <v>20024</v>
      </c>
      <c r="BA34" s="968">
        <f t="shared" si="15"/>
        <v>85.1</v>
      </c>
      <c r="BB34" s="967">
        <v>20001</v>
      </c>
      <c r="BC34" s="954">
        <f t="shared" si="16"/>
        <v>85</v>
      </c>
      <c r="BD34" s="965">
        <v>20048</v>
      </c>
      <c r="BE34" s="968">
        <f t="shared" si="17"/>
        <v>85.2</v>
      </c>
      <c r="BF34" s="965">
        <v>3997</v>
      </c>
      <c r="BG34" s="969">
        <v>78024</v>
      </c>
      <c r="BH34" s="981">
        <v>11973</v>
      </c>
      <c r="BI34" s="963" t="s">
        <v>352</v>
      </c>
    </row>
    <row r="35" spans="1:64" ht="17.100000000000001" customHeight="1" x14ac:dyDescent="0.25">
      <c r="A35" s="1137">
        <v>54</v>
      </c>
      <c r="B35" s="1134" t="s">
        <v>125</v>
      </c>
      <c r="C35" s="925">
        <v>23944</v>
      </c>
      <c r="D35" s="965">
        <v>20498</v>
      </c>
      <c r="E35" s="954">
        <f t="shared" si="0"/>
        <v>85.6</v>
      </c>
      <c r="F35" s="965">
        <v>20568</v>
      </c>
      <c r="G35" s="966">
        <f t="shared" si="0"/>
        <v>85.9</v>
      </c>
      <c r="H35" s="967">
        <v>21803</v>
      </c>
      <c r="I35" s="968">
        <f t="shared" si="0"/>
        <v>91.1</v>
      </c>
      <c r="J35" s="965">
        <v>20509</v>
      </c>
      <c r="K35" s="968">
        <f t="shared" si="1"/>
        <v>85.7</v>
      </c>
      <c r="L35" s="969">
        <v>20571</v>
      </c>
      <c r="M35" s="968">
        <f t="shared" si="2"/>
        <v>85.9</v>
      </c>
      <c r="N35" s="969">
        <v>21801</v>
      </c>
      <c r="O35" s="968">
        <f t="shared" si="3"/>
        <v>91</v>
      </c>
      <c r="P35" s="967">
        <v>20475</v>
      </c>
      <c r="Q35" s="968">
        <f t="shared" si="4"/>
        <v>85.5</v>
      </c>
      <c r="R35" s="970">
        <v>19417</v>
      </c>
      <c r="S35" s="968">
        <f t="shared" si="5"/>
        <v>81.099999999999994</v>
      </c>
      <c r="T35" s="965">
        <v>19933</v>
      </c>
      <c r="U35" s="968">
        <f t="shared" si="6"/>
        <v>83.2</v>
      </c>
      <c r="V35" s="969">
        <v>20231</v>
      </c>
      <c r="W35" s="954">
        <f t="shared" si="7"/>
        <v>84.5</v>
      </c>
      <c r="X35" s="970">
        <v>17516</v>
      </c>
      <c r="Y35" s="966">
        <f t="shared" si="19"/>
        <v>97.5</v>
      </c>
      <c r="Z35" s="971">
        <v>11737</v>
      </c>
      <c r="AA35" s="968">
        <f t="shared" si="20"/>
        <v>65.400000000000006</v>
      </c>
      <c r="AB35" s="965">
        <v>20627</v>
      </c>
      <c r="AC35" s="968">
        <f t="shared" si="8"/>
        <v>86.1</v>
      </c>
      <c r="AD35" s="969">
        <v>20651</v>
      </c>
      <c r="AE35" s="968">
        <f t="shared" si="9"/>
        <v>86.2</v>
      </c>
      <c r="AF35" s="972">
        <v>23673</v>
      </c>
      <c r="AG35" s="973">
        <v>22125</v>
      </c>
      <c r="AH35" s="954">
        <f t="shared" si="10"/>
        <v>93.5</v>
      </c>
      <c r="AI35" s="970">
        <v>9602</v>
      </c>
      <c r="AJ35" s="954">
        <f t="shared" si="11"/>
        <v>40.6</v>
      </c>
      <c r="AK35" s="974">
        <v>12620</v>
      </c>
      <c r="AL35" s="968">
        <f t="shared" si="21"/>
        <v>53.3</v>
      </c>
      <c r="AM35" s="967">
        <v>22040</v>
      </c>
      <c r="AN35" s="968">
        <f t="shared" si="12"/>
        <v>93.1</v>
      </c>
      <c r="AO35" s="975">
        <v>119</v>
      </c>
      <c r="AP35" s="966">
        <f t="shared" si="18"/>
        <v>0.50268238077134286</v>
      </c>
      <c r="AQ35" s="975">
        <v>175</v>
      </c>
      <c r="AR35" s="976">
        <v>294</v>
      </c>
      <c r="AS35" s="981">
        <v>22217</v>
      </c>
      <c r="AT35" s="978">
        <f t="shared" si="22"/>
        <v>93.8</v>
      </c>
      <c r="AU35" s="965">
        <v>20573</v>
      </c>
      <c r="AV35" s="968">
        <f t="shared" si="13"/>
        <v>86.9</v>
      </c>
      <c r="AW35" s="965">
        <v>20675</v>
      </c>
      <c r="AX35" s="968">
        <f t="shared" si="14"/>
        <v>87.3</v>
      </c>
      <c r="AY35" s="979">
        <v>23974</v>
      </c>
      <c r="AZ35" s="980">
        <v>21123</v>
      </c>
      <c r="BA35" s="968">
        <f t="shared" si="15"/>
        <v>88.1</v>
      </c>
      <c r="BB35" s="967">
        <v>20930</v>
      </c>
      <c r="BC35" s="954">
        <f t="shared" si="16"/>
        <v>87.3</v>
      </c>
      <c r="BD35" s="965">
        <v>21058</v>
      </c>
      <c r="BE35" s="968">
        <f t="shared" si="17"/>
        <v>87.8</v>
      </c>
      <c r="BF35" s="965">
        <v>15801</v>
      </c>
      <c r="BG35" s="969">
        <v>38227</v>
      </c>
      <c r="BH35" s="981">
        <v>7400</v>
      </c>
      <c r="BI35" s="963" t="s">
        <v>345</v>
      </c>
    </row>
    <row r="36" spans="1:64" ht="17.100000000000001" customHeight="1" x14ac:dyDescent="0.25">
      <c r="A36" s="1137">
        <v>86</v>
      </c>
      <c r="B36" s="1133" t="s">
        <v>31</v>
      </c>
      <c r="C36" s="925">
        <v>5624</v>
      </c>
      <c r="D36" s="965">
        <v>4871</v>
      </c>
      <c r="E36" s="954">
        <f t="shared" si="0"/>
        <v>86.6</v>
      </c>
      <c r="F36" s="965">
        <v>4836</v>
      </c>
      <c r="G36" s="966">
        <f t="shared" si="0"/>
        <v>86</v>
      </c>
      <c r="H36" s="967">
        <v>4778</v>
      </c>
      <c r="I36" s="968">
        <f t="shared" si="0"/>
        <v>85</v>
      </c>
      <c r="J36" s="965">
        <v>4878</v>
      </c>
      <c r="K36" s="968">
        <f t="shared" si="1"/>
        <v>86.7</v>
      </c>
      <c r="L36" s="969">
        <v>4840</v>
      </c>
      <c r="M36" s="968">
        <f t="shared" si="2"/>
        <v>86.1</v>
      </c>
      <c r="N36" s="969">
        <v>4798</v>
      </c>
      <c r="O36" s="968">
        <f t="shared" si="3"/>
        <v>85.3</v>
      </c>
      <c r="P36" s="967">
        <v>4410</v>
      </c>
      <c r="Q36" s="968">
        <f t="shared" si="4"/>
        <v>78.400000000000006</v>
      </c>
      <c r="R36" s="970">
        <v>4266</v>
      </c>
      <c r="S36" s="968">
        <f t="shared" si="5"/>
        <v>75.900000000000006</v>
      </c>
      <c r="T36" s="965">
        <v>4668</v>
      </c>
      <c r="U36" s="968">
        <f t="shared" si="6"/>
        <v>83</v>
      </c>
      <c r="V36" s="969">
        <v>4692</v>
      </c>
      <c r="W36" s="954">
        <f t="shared" si="7"/>
        <v>83.4</v>
      </c>
      <c r="X36" s="970">
        <v>2881</v>
      </c>
      <c r="Y36" s="966">
        <f t="shared" si="19"/>
        <v>68.3</v>
      </c>
      <c r="Z36" s="971">
        <v>2142</v>
      </c>
      <c r="AA36" s="968">
        <f t="shared" si="20"/>
        <v>50.8</v>
      </c>
      <c r="AB36" s="965">
        <v>4849</v>
      </c>
      <c r="AC36" s="968">
        <f t="shared" si="8"/>
        <v>86.2</v>
      </c>
      <c r="AD36" s="969">
        <v>4826</v>
      </c>
      <c r="AE36" s="968">
        <f t="shared" si="9"/>
        <v>85.8</v>
      </c>
      <c r="AF36" s="972">
        <v>5793</v>
      </c>
      <c r="AG36" s="973">
        <v>5006</v>
      </c>
      <c r="AH36" s="954">
        <f t="shared" si="10"/>
        <v>86.4</v>
      </c>
      <c r="AI36" s="970">
        <v>2272</v>
      </c>
      <c r="AJ36" s="954">
        <f t="shared" si="11"/>
        <v>39.200000000000003</v>
      </c>
      <c r="AK36" s="974">
        <v>2739</v>
      </c>
      <c r="AL36" s="968">
        <f t="shared" si="21"/>
        <v>47.3</v>
      </c>
      <c r="AM36" s="967">
        <v>4961</v>
      </c>
      <c r="AN36" s="968">
        <f t="shared" si="12"/>
        <v>85.6</v>
      </c>
      <c r="AO36" s="975">
        <v>37</v>
      </c>
      <c r="AP36" s="966">
        <f t="shared" si="18"/>
        <v>0.63870188158121877</v>
      </c>
      <c r="AQ36" s="975">
        <v>52</v>
      </c>
      <c r="AR36" s="976">
        <v>45</v>
      </c>
      <c r="AS36" s="981">
        <v>5024</v>
      </c>
      <c r="AT36" s="978">
        <f t="shared" si="22"/>
        <v>86.7</v>
      </c>
      <c r="AU36" s="965">
        <v>5092</v>
      </c>
      <c r="AV36" s="968">
        <f t="shared" si="13"/>
        <v>87.9</v>
      </c>
      <c r="AW36" s="965">
        <v>5088</v>
      </c>
      <c r="AX36" s="968">
        <f t="shared" si="14"/>
        <v>87.8</v>
      </c>
      <c r="AY36" s="979">
        <v>6268</v>
      </c>
      <c r="AZ36" s="980">
        <v>4869</v>
      </c>
      <c r="BA36" s="968">
        <f t="shared" si="15"/>
        <v>77.7</v>
      </c>
      <c r="BB36" s="967">
        <v>4876</v>
      </c>
      <c r="BC36" s="954">
        <f t="shared" si="16"/>
        <v>77.8</v>
      </c>
      <c r="BD36" s="965">
        <v>4786</v>
      </c>
      <c r="BE36" s="968">
        <f t="shared" si="17"/>
        <v>76.400000000000006</v>
      </c>
      <c r="BF36" s="965">
        <v>1235</v>
      </c>
      <c r="BG36" s="969">
        <v>10590</v>
      </c>
      <c r="BH36" s="981">
        <v>2662</v>
      </c>
      <c r="BI36" s="963" t="s">
        <v>344</v>
      </c>
    </row>
    <row r="37" spans="1:64" ht="17.100000000000001" customHeight="1" x14ac:dyDescent="0.25">
      <c r="A37" s="1137">
        <v>63</v>
      </c>
      <c r="B37" s="1131" t="s">
        <v>32</v>
      </c>
      <c r="C37" s="925">
        <v>5902</v>
      </c>
      <c r="D37" s="965">
        <v>5860</v>
      </c>
      <c r="E37" s="954">
        <f t="shared" si="0"/>
        <v>99.3</v>
      </c>
      <c r="F37" s="965">
        <v>5798</v>
      </c>
      <c r="G37" s="966">
        <f t="shared" si="0"/>
        <v>98.2</v>
      </c>
      <c r="H37" s="967">
        <v>5732</v>
      </c>
      <c r="I37" s="968">
        <f t="shared" si="0"/>
        <v>97.1</v>
      </c>
      <c r="J37" s="965">
        <v>5862</v>
      </c>
      <c r="K37" s="968">
        <f t="shared" si="1"/>
        <v>99.3</v>
      </c>
      <c r="L37" s="969">
        <v>5794</v>
      </c>
      <c r="M37" s="968">
        <f t="shared" si="2"/>
        <v>98.2</v>
      </c>
      <c r="N37" s="969">
        <v>5728</v>
      </c>
      <c r="O37" s="968">
        <f t="shared" si="3"/>
        <v>97.1</v>
      </c>
      <c r="P37" s="967">
        <v>6202</v>
      </c>
      <c r="Q37" s="968">
        <f t="shared" si="4"/>
        <v>105.1</v>
      </c>
      <c r="R37" s="970">
        <v>6185</v>
      </c>
      <c r="S37" s="968">
        <f t="shared" si="5"/>
        <v>104.8</v>
      </c>
      <c r="T37" s="965">
        <v>5828</v>
      </c>
      <c r="U37" s="968">
        <f t="shared" si="6"/>
        <v>98.7</v>
      </c>
      <c r="V37" s="969">
        <v>5772</v>
      </c>
      <c r="W37" s="954">
        <f t="shared" si="7"/>
        <v>97.8</v>
      </c>
      <c r="X37" s="970">
        <v>4650</v>
      </c>
      <c r="Y37" s="966">
        <f t="shared" si="19"/>
        <v>105</v>
      </c>
      <c r="Z37" s="971">
        <v>3705</v>
      </c>
      <c r="AA37" s="968">
        <f t="shared" si="20"/>
        <v>83.7</v>
      </c>
      <c r="AB37" s="965">
        <v>5873</v>
      </c>
      <c r="AC37" s="968">
        <f t="shared" si="8"/>
        <v>99.5</v>
      </c>
      <c r="AD37" s="969">
        <v>5842</v>
      </c>
      <c r="AE37" s="968">
        <f t="shared" si="9"/>
        <v>99</v>
      </c>
      <c r="AF37" s="972">
        <v>6198</v>
      </c>
      <c r="AG37" s="973">
        <v>5779</v>
      </c>
      <c r="AH37" s="954">
        <f t="shared" si="10"/>
        <v>93.2</v>
      </c>
      <c r="AI37" s="970">
        <v>2795</v>
      </c>
      <c r="AJ37" s="954">
        <f t="shared" si="11"/>
        <v>45.1</v>
      </c>
      <c r="AK37" s="974">
        <v>3049</v>
      </c>
      <c r="AL37" s="968">
        <f t="shared" si="21"/>
        <v>49.2</v>
      </c>
      <c r="AM37" s="967">
        <v>5738</v>
      </c>
      <c r="AN37" s="968">
        <f t="shared" si="12"/>
        <v>92.6</v>
      </c>
      <c r="AO37" s="975">
        <v>35</v>
      </c>
      <c r="AP37" s="966">
        <f t="shared" si="18"/>
        <v>0.56469828977089387</v>
      </c>
      <c r="AQ37" s="975">
        <v>24</v>
      </c>
      <c r="AR37" s="976">
        <v>30</v>
      </c>
      <c r="AS37" s="981">
        <v>5856</v>
      </c>
      <c r="AT37" s="978">
        <f t="shared" si="22"/>
        <v>94.5</v>
      </c>
      <c r="AU37" s="965">
        <v>5764</v>
      </c>
      <c r="AV37" s="968">
        <f t="shared" si="13"/>
        <v>93</v>
      </c>
      <c r="AW37" s="965">
        <v>5719</v>
      </c>
      <c r="AX37" s="968">
        <f t="shared" si="14"/>
        <v>92.3</v>
      </c>
      <c r="AY37" s="979">
        <v>6682</v>
      </c>
      <c r="AZ37" s="980">
        <v>6042</v>
      </c>
      <c r="BA37" s="968">
        <f t="shared" si="15"/>
        <v>90.4</v>
      </c>
      <c r="BB37" s="967">
        <v>6049</v>
      </c>
      <c r="BC37" s="954">
        <f t="shared" si="16"/>
        <v>90.5</v>
      </c>
      <c r="BD37" s="965">
        <v>6029</v>
      </c>
      <c r="BE37" s="968">
        <f t="shared" si="17"/>
        <v>90.2</v>
      </c>
      <c r="BF37" s="965">
        <v>3081</v>
      </c>
      <c r="BG37" s="969">
        <v>28647</v>
      </c>
      <c r="BH37" s="981">
        <v>3714</v>
      </c>
      <c r="BI37" s="963" t="s">
        <v>345</v>
      </c>
    </row>
    <row r="38" spans="1:64" ht="17.100000000000001" customHeight="1" x14ac:dyDescent="0.25">
      <c r="A38" s="1137">
        <v>66</v>
      </c>
      <c r="B38" s="1131" t="s">
        <v>33</v>
      </c>
      <c r="C38" s="925">
        <v>11260</v>
      </c>
      <c r="D38" s="965">
        <v>10482</v>
      </c>
      <c r="E38" s="954">
        <f t="shared" si="0"/>
        <v>93.1</v>
      </c>
      <c r="F38" s="965">
        <v>11378</v>
      </c>
      <c r="G38" s="966">
        <f t="shared" si="0"/>
        <v>101</v>
      </c>
      <c r="H38" s="967">
        <v>10484</v>
      </c>
      <c r="I38" s="968">
        <f t="shared" si="0"/>
        <v>93.1</v>
      </c>
      <c r="J38" s="965">
        <v>10827</v>
      </c>
      <c r="K38" s="968">
        <f t="shared" si="1"/>
        <v>96.2</v>
      </c>
      <c r="L38" s="969">
        <v>10653</v>
      </c>
      <c r="M38" s="968">
        <f t="shared" si="2"/>
        <v>94.6</v>
      </c>
      <c r="N38" s="969">
        <v>10502</v>
      </c>
      <c r="O38" s="968">
        <f t="shared" si="3"/>
        <v>93.3</v>
      </c>
      <c r="P38" s="967">
        <v>11633</v>
      </c>
      <c r="Q38" s="968">
        <f t="shared" si="4"/>
        <v>103.3</v>
      </c>
      <c r="R38" s="970">
        <v>11367</v>
      </c>
      <c r="S38" s="968">
        <f t="shared" si="5"/>
        <v>101</v>
      </c>
      <c r="T38" s="965">
        <v>10672</v>
      </c>
      <c r="U38" s="968">
        <f t="shared" si="6"/>
        <v>94.8</v>
      </c>
      <c r="V38" s="969">
        <v>10513</v>
      </c>
      <c r="W38" s="954">
        <f t="shared" si="7"/>
        <v>93.4</v>
      </c>
      <c r="X38" s="970">
        <v>8026</v>
      </c>
      <c r="Y38" s="966">
        <f t="shared" si="19"/>
        <v>95</v>
      </c>
      <c r="Z38" s="971">
        <v>5949</v>
      </c>
      <c r="AA38" s="968">
        <f t="shared" si="20"/>
        <v>70.400000000000006</v>
      </c>
      <c r="AB38" s="965">
        <v>10830</v>
      </c>
      <c r="AC38" s="968">
        <f t="shared" si="8"/>
        <v>96.2</v>
      </c>
      <c r="AD38" s="969">
        <v>10695</v>
      </c>
      <c r="AE38" s="968">
        <f t="shared" si="9"/>
        <v>95</v>
      </c>
      <c r="AF38" s="972">
        <v>11584</v>
      </c>
      <c r="AG38" s="973">
        <v>10934</v>
      </c>
      <c r="AH38" s="954">
        <f t="shared" si="10"/>
        <v>94.4</v>
      </c>
      <c r="AI38" s="970">
        <v>4942</v>
      </c>
      <c r="AJ38" s="954">
        <f t="shared" si="11"/>
        <v>42.7</v>
      </c>
      <c r="AK38" s="974">
        <v>7367</v>
      </c>
      <c r="AL38" s="968">
        <f t="shared" si="21"/>
        <v>63.6</v>
      </c>
      <c r="AM38" s="967">
        <v>10685</v>
      </c>
      <c r="AN38" s="968">
        <f t="shared" si="12"/>
        <v>92.2</v>
      </c>
      <c r="AO38" s="975">
        <v>142</v>
      </c>
      <c r="AP38" s="966">
        <f t="shared" si="18"/>
        <v>1.225828729281768</v>
      </c>
      <c r="AQ38" s="975">
        <v>96</v>
      </c>
      <c r="AR38" s="976">
        <v>953</v>
      </c>
      <c r="AS38" s="981">
        <v>11161</v>
      </c>
      <c r="AT38" s="978">
        <f t="shared" si="22"/>
        <v>96.3</v>
      </c>
      <c r="AU38" s="965">
        <v>11053</v>
      </c>
      <c r="AV38" s="968">
        <f t="shared" si="13"/>
        <v>95.4</v>
      </c>
      <c r="AW38" s="965">
        <v>10116</v>
      </c>
      <c r="AX38" s="968">
        <f t="shared" si="14"/>
        <v>87.3</v>
      </c>
      <c r="AY38" s="979">
        <v>12419</v>
      </c>
      <c r="AZ38" s="980">
        <v>11302</v>
      </c>
      <c r="BA38" s="968">
        <f t="shared" si="15"/>
        <v>91</v>
      </c>
      <c r="BB38" s="967">
        <v>11234</v>
      </c>
      <c r="BC38" s="954">
        <f t="shared" si="16"/>
        <v>90.5</v>
      </c>
      <c r="BD38" s="965">
        <v>11330</v>
      </c>
      <c r="BE38" s="968">
        <f t="shared" si="17"/>
        <v>91.2</v>
      </c>
      <c r="BF38" s="965">
        <v>4233</v>
      </c>
      <c r="BG38" s="969">
        <v>46036</v>
      </c>
      <c r="BH38" s="981">
        <v>8312</v>
      </c>
      <c r="BI38" s="963" t="s">
        <v>345</v>
      </c>
      <c r="BK38" s="993" t="s">
        <v>227</v>
      </c>
    </row>
    <row r="39" spans="1:64" ht="17.100000000000001" customHeight="1" x14ac:dyDescent="0.25">
      <c r="A39" s="1137">
        <v>88</v>
      </c>
      <c r="B39" s="1131" t="s">
        <v>359</v>
      </c>
      <c r="C39" s="925">
        <v>900</v>
      </c>
      <c r="D39" s="965">
        <v>797</v>
      </c>
      <c r="E39" s="954">
        <f t="shared" si="0"/>
        <v>88.6</v>
      </c>
      <c r="F39" s="965">
        <v>839</v>
      </c>
      <c r="G39" s="966">
        <f t="shared" si="0"/>
        <v>93.2</v>
      </c>
      <c r="H39" s="967">
        <v>808</v>
      </c>
      <c r="I39" s="968">
        <f t="shared" si="0"/>
        <v>89.8</v>
      </c>
      <c r="J39" s="965">
        <v>798</v>
      </c>
      <c r="K39" s="968">
        <f t="shared" si="1"/>
        <v>88.7</v>
      </c>
      <c r="L39" s="969">
        <v>840</v>
      </c>
      <c r="M39" s="968">
        <f t="shared" si="2"/>
        <v>93.3</v>
      </c>
      <c r="N39" s="969">
        <v>809</v>
      </c>
      <c r="O39" s="968">
        <f t="shared" si="3"/>
        <v>89.9</v>
      </c>
      <c r="P39" s="967">
        <v>770</v>
      </c>
      <c r="Q39" s="968">
        <f t="shared" si="4"/>
        <v>85.6</v>
      </c>
      <c r="R39" s="970">
        <v>764</v>
      </c>
      <c r="S39" s="968">
        <f t="shared" si="5"/>
        <v>84.9</v>
      </c>
      <c r="T39" s="965">
        <v>775</v>
      </c>
      <c r="U39" s="968">
        <f t="shared" si="6"/>
        <v>86.1</v>
      </c>
      <c r="V39" s="969">
        <v>812</v>
      </c>
      <c r="W39" s="954">
        <f t="shared" si="7"/>
        <v>90.2</v>
      </c>
      <c r="X39" s="970">
        <v>761</v>
      </c>
      <c r="Y39" s="966">
        <f t="shared" si="19"/>
        <v>112.7</v>
      </c>
      <c r="Z39" s="971">
        <v>442</v>
      </c>
      <c r="AA39" s="968">
        <f t="shared" si="20"/>
        <v>65.5</v>
      </c>
      <c r="AB39" s="965">
        <v>791</v>
      </c>
      <c r="AC39" s="968">
        <f t="shared" si="8"/>
        <v>87.9</v>
      </c>
      <c r="AD39" s="969">
        <v>833</v>
      </c>
      <c r="AE39" s="968">
        <f t="shared" si="9"/>
        <v>92.6</v>
      </c>
      <c r="AF39" s="972">
        <v>890</v>
      </c>
      <c r="AG39" s="973">
        <v>814</v>
      </c>
      <c r="AH39" s="954">
        <f t="shared" si="10"/>
        <v>91.5</v>
      </c>
      <c r="AI39" s="970">
        <v>399</v>
      </c>
      <c r="AJ39" s="954">
        <f t="shared" si="11"/>
        <v>44.8</v>
      </c>
      <c r="AK39" s="974">
        <v>429</v>
      </c>
      <c r="AL39" s="968">
        <f t="shared" si="21"/>
        <v>48.2</v>
      </c>
      <c r="AM39" s="967">
        <v>757</v>
      </c>
      <c r="AN39" s="968">
        <f t="shared" si="12"/>
        <v>85.1</v>
      </c>
      <c r="AO39" s="975">
        <v>51</v>
      </c>
      <c r="AP39" s="966">
        <f t="shared" si="18"/>
        <v>5.7303370786516847</v>
      </c>
      <c r="AQ39" s="975">
        <v>20</v>
      </c>
      <c r="AR39" s="976">
        <v>5</v>
      </c>
      <c r="AS39" s="981">
        <v>820</v>
      </c>
      <c r="AT39" s="978">
        <f t="shared" si="22"/>
        <v>92.1</v>
      </c>
      <c r="AU39" s="965">
        <v>827</v>
      </c>
      <c r="AV39" s="968">
        <f t="shared" si="13"/>
        <v>92.9</v>
      </c>
      <c r="AW39" s="965">
        <v>756</v>
      </c>
      <c r="AX39" s="968">
        <f t="shared" si="14"/>
        <v>84.9</v>
      </c>
      <c r="AY39" s="979">
        <v>874</v>
      </c>
      <c r="AZ39" s="980">
        <v>732</v>
      </c>
      <c r="BA39" s="968">
        <f t="shared" si="15"/>
        <v>83.8</v>
      </c>
      <c r="BB39" s="967">
        <v>689</v>
      </c>
      <c r="BC39" s="954">
        <f t="shared" si="16"/>
        <v>78.8</v>
      </c>
      <c r="BD39" s="965">
        <v>735</v>
      </c>
      <c r="BE39" s="968">
        <f t="shared" si="17"/>
        <v>84.1</v>
      </c>
      <c r="BF39" s="965">
        <v>563</v>
      </c>
      <c r="BG39" s="969">
        <v>804</v>
      </c>
      <c r="BH39" s="981">
        <v>609</v>
      </c>
      <c r="BI39" s="963" t="s">
        <v>347</v>
      </c>
      <c r="BK39" s="938" t="str">
        <f>B49</f>
        <v>Fecha de Corte</v>
      </c>
      <c r="BL39" s="994">
        <f>C49</f>
        <v>42368</v>
      </c>
    </row>
    <row r="40" spans="1:64" ht="17.100000000000001" customHeight="1" x14ac:dyDescent="0.25">
      <c r="A40" s="1137">
        <v>68</v>
      </c>
      <c r="B40" s="1131" t="s">
        <v>35</v>
      </c>
      <c r="C40" s="925">
        <v>33932</v>
      </c>
      <c r="D40" s="965">
        <v>29418</v>
      </c>
      <c r="E40" s="954">
        <f t="shared" si="0"/>
        <v>86.7</v>
      </c>
      <c r="F40" s="965">
        <v>30831</v>
      </c>
      <c r="G40" s="966">
        <f t="shared" si="0"/>
        <v>90.9</v>
      </c>
      <c r="H40" s="967">
        <v>30841</v>
      </c>
      <c r="I40" s="968">
        <f t="shared" si="0"/>
        <v>90.9</v>
      </c>
      <c r="J40" s="965">
        <v>30407</v>
      </c>
      <c r="K40" s="968">
        <f t="shared" si="1"/>
        <v>89.6</v>
      </c>
      <c r="L40" s="969">
        <v>30795</v>
      </c>
      <c r="M40" s="968">
        <f t="shared" si="2"/>
        <v>90.8</v>
      </c>
      <c r="N40" s="969">
        <v>30641</v>
      </c>
      <c r="O40" s="968">
        <f t="shared" si="3"/>
        <v>90.3</v>
      </c>
      <c r="P40" s="967">
        <v>31347</v>
      </c>
      <c r="Q40" s="968">
        <f t="shared" si="4"/>
        <v>92.4</v>
      </c>
      <c r="R40" s="970">
        <v>31249</v>
      </c>
      <c r="S40" s="968">
        <f t="shared" si="5"/>
        <v>92.1</v>
      </c>
      <c r="T40" s="965">
        <v>29478</v>
      </c>
      <c r="U40" s="968">
        <f t="shared" si="6"/>
        <v>86.9</v>
      </c>
      <c r="V40" s="969">
        <v>30157</v>
      </c>
      <c r="W40" s="954">
        <f t="shared" si="7"/>
        <v>88.9</v>
      </c>
      <c r="X40" s="970">
        <v>27098</v>
      </c>
      <c r="Y40" s="966">
        <f t="shared" si="19"/>
        <v>106.5</v>
      </c>
      <c r="Z40" s="971">
        <v>20089</v>
      </c>
      <c r="AA40" s="968">
        <f t="shared" si="20"/>
        <v>78.900000000000006</v>
      </c>
      <c r="AB40" s="965">
        <v>29813</v>
      </c>
      <c r="AC40" s="968">
        <f t="shared" si="8"/>
        <v>87.9</v>
      </c>
      <c r="AD40" s="969">
        <v>30253</v>
      </c>
      <c r="AE40" s="968">
        <f t="shared" si="9"/>
        <v>89.2</v>
      </c>
      <c r="AF40" s="972">
        <v>32070</v>
      </c>
      <c r="AG40" s="973">
        <v>30475</v>
      </c>
      <c r="AH40" s="954">
        <f t="shared" si="10"/>
        <v>95</v>
      </c>
      <c r="AI40" s="970">
        <v>13953</v>
      </c>
      <c r="AJ40" s="954">
        <f t="shared" si="11"/>
        <v>43.5</v>
      </c>
      <c r="AK40" s="974">
        <v>19267</v>
      </c>
      <c r="AL40" s="968">
        <f t="shared" si="21"/>
        <v>60.1</v>
      </c>
      <c r="AM40" s="967">
        <v>29714</v>
      </c>
      <c r="AN40" s="968">
        <f t="shared" si="12"/>
        <v>92.7</v>
      </c>
      <c r="AO40" s="975">
        <v>706</v>
      </c>
      <c r="AP40" s="966">
        <f t="shared" si="18"/>
        <v>2.2014343623323978</v>
      </c>
      <c r="AQ40" s="975">
        <v>406</v>
      </c>
      <c r="AR40" s="976">
        <v>569</v>
      </c>
      <c r="AS40" s="981">
        <v>30963</v>
      </c>
      <c r="AT40" s="978">
        <f t="shared" si="22"/>
        <v>96.5</v>
      </c>
      <c r="AU40" s="965">
        <v>29893</v>
      </c>
      <c r="AV40" s="968">
        <f t="shared" si="13"/>
        <v>93.2</v>
      </c>
      <c r="AW40" s="965">
        <v>28068</v>
      </c>
      <c r="AX40" s="968">
        <f t="shared" si="14"/>
        <v>87.5</v>
      </c>
      <c r="AY40" s="979">
        <v>31650</v>
      </c>
      <c r="AZ40" s="980">
        <v>27080</v>
      </c>
      <c r="BA40" s="968">
        <f t="shared" si="15"/>
        <v>85.6</v>
      </c>
      <c r="BB40" s="967">
        <v>28050</v>
      </c>
      <c r="BC40" s="954">
        <f t="shared" si="16"/>
        <v>88.6</v>
      </c>
      <c r="BD40" s="965">
        <v>27107</v>
      </c>
      <c r="BE40" s="968">
        <f t="shared" si="17"/>
        <v>85.6</v>
      </c>
      <c r="BF40" s="965">
        <v>14418</v>
      </c>
      <c r="BG40" s="969">
        <v>66778</v>
      </c>
      <c r="BH40" s="981">
        <v>19943</v>
      </c>
      <c r="BI40" s="963" t="s">
        <v>345</v>
      </c>
    </row>
    <row r="41" spans="1:64" ht="17.100000000000001" customHeight="1" x14ac:dyDescent="0.25">
      <c r="A41" s="1137">
        <v>70</v>
      </c>
      <c r="B41" s="1131" t="s">
        <v>36</v>
      </c>
      <c r="C41" s="925">
        <v>16452</v>
      </c>
      <c r="D41" s="965">
        <v>14553</v>
      </c>
      <c r="E41" s="954">
        <f t="shared" si="0"/>
        <v>88.5</v>
      </c>
      <c r="F41" s="965">
        <v>14671</v>
      </c>
      <c r="G41" s="966">
        <f t="shared" si="0"/>
        <v>89.2</v>
      </c>
      <c r="H41" s="967">
        <v>14539</v>
      </c>
      <c r="I41" s="968">
        <f t="shared" si="0"/>
        <v>88.4</v>
      </c>
      <c r="J41" s="965">
        <v>14581</v>
      </c>
      <c r="K41" s="968">
        <f t="shared" si="1"/>
        <v>88.6</v>
      </c>
      <c r="L41" s="969">
        <v>14642</v>
      </c>
      <c r="M41" s="968">
        <f t="shared" si="2"/>
        <v>89</v>
      </c>
      <c r="N41" s="969">
        <v>14518</v>
      </c>
      <c r="O41" s="968">
        <f t="shared" si="3"/>
        <v>88.2</v>
      </c>
      <c r="P41" s="967">
        <v>14206</v>
      </c>
      <c r="Q41" s="968">
        <f t="shared" si="4"/>
        <v>86.3</v>
      </c>
      <c r="R41" s="970">
        <v>13896</v>
      </c>
      <c r="S41" s="968">
        <f t="shared" si="5"/>
        <v>84.5</v>
      </c>
      <c r="T41" s="965">
        <v>14229</v>
      </c>
      <c r="U41" s="968">
        <f t="shared" si="6"/>
        <v>86.5</v>
      </c>
      <c r="V41" s="969">
        <v>14360</v>
      </c>
      <c r="W41" s="954">
        <f t="shared" si="7"/>
        <v>87.3</v>
      </c>
      <c r="X41" s="970">
        <v>9771</v>
      </c>
      <c r="Y41" s="966">
        <f t="shared" si="19"/>
        <v>79.2</v>
      </c>
      <c r="Z41" s="971">
        <v>8576</v>
      </c>
      <c r="AA41" s="968">
        <f t="shared" si="20"/>
        <v>69.5</v>
      </c>
      <c r="AB41" s="965">
        <v>14583</v>
      </c>
      <c r="AC41" s="968">
        <f t="shared" si="8"/>
        <v>88.6</v>
      </c>
      <c r="AD41" s="969">
        <v>14681</v>
      </c>
      <c r="AE41" s="968">
        <f t="shared" si="9"/>
        <v>89.2</v>
      </c>
      <c r="AF41" s="972">
        <v>16634</v>
      </c>
      <c r="AG41" s="973">
        <v>14996</v>
      </c>
      <c r="AH41" s="954">
        <f t="shared" si="10"/>
        <v>90.2</v>
      </c>
      <c r="AI41" s="970">
        <v>6925</v>
      </c>
      <c r="AJ41" s="954">
        <f t="shared" si="11"/>
        <v>41.6</v>
      </c>
      <c r="AK41" s="974">
        <v>8120</v>
      </c>
      <c r="AL41" s="968">
        <f t="shared" si="21"/>
        <v>48.8</v>
      </c>
      <c r="AM41" s="967">
        <v>14986</v>
      </c>
      <c r="AN41" s="968">
        <f t="shared" si="12"/>
        <v>90.1</v>
      </c>
      <c r="AO41" s="975">
        <v>84</v>
      </c>
      <c r="AP41" s="966">
        <f t="shared" si="18"/>
        <v>0.50498977996873873</v>
      </c>
      <c r="AQ41" s="975">
        <v>121</v>
      </c>
      <c r="AR41" s="976">
        <v>226</v>
      </c>
      <c r="AS41" s="981">
        <v>15047</v>
      </c>
      <c r="AT41" s="978">
        <f t="shared" si="22"/>
        <v>90.5</v>
      </c>
      <c r="AU41" s="965">
        <v>14848</v>
      </c>
      <c r="AV41" s="968">
        <f t="shared" si="13"/>
        <v>89.3</v>
      </c>
      <c r="AW41" s="965">
        <v>14901</v>
      </c>
      <c r="AX41" s="968">
        <f t="shared" si="14"/>
        <v>89.6</v>
      </c>
      <c r="AY41" s="979">
        <v>17149</v>
      </c>
      <c r="AZ41" s="980">
        <v>14762</v>
      </c>
      <c r="BA41" s="968">
        <f t="shared" si="15"/>
        <v>86.1</v>
      </c>
      <c r="BB41" s="967">
        <v>14775</v>
      </c>
      <c r="BC41" s="954">
        <f t="shared" si="16"/>
        <v>86.2</v>
      </c>
      <c r="BD41" s="965">
        <v>14632</v>
      </c>
      <c r="BE41" s="968">
        <f t="shared" si="17"/>
        <v>85.3</v>
      </c>
      <c r="BF41" s="965">
        <v>6659</v>
      </c>
      <c r="BG41" s="969">
        <v>29336</v>
      </c>
      <c r="BH41" s="981">
        <v>10764</v>
      </c>
      <c r="BI41" s="963" t="s">
        <v>347</v>
      </c>
    </row>
    <row r="42" spans="1:64" ht="17.100000000000001" customHeight="1" x14ac:dyDescent="0.25">
      <c r="A42" s="1137">
        <v>73</v>
      </c>
      <c r="B42" s="1131" t="s">
        <v>37</v>
      </c>
      <c r="C42" s="925">
        <v>19965</v>
      </c>
      <c r="D42" s="965">
        <v>18300</v>
      </c>
      <c r="E42" s="954">
        <f t="shared" si="0"/>
        <v>91.7</v>
      </c>
      <c r="F42" s="965">
        <v>18295</v>
      </c>
      <c r="G42" s="966">
        <f t="shared" si="0"/>
        <v>91.6</v>
      </c>
      <c r="H42" s="967">
        <v>18148</v>
      </c>
      <c r="I42" s="968">
        <f t="shared" si="0"/>
        <v>90.9</v>
      </c>
      <c r="J42" s="965">
        <v>18332</v>
      </c>
      <c r="K42" s="968">
        <f t="shared" si="1"/>
        <v>91.8</v>
      </c>
      <c r="L42" s="969">
        <v>18283</v>
      </c>
      <c r="M42" s="968">
        <f t="shared" si="2"/>
        <v>91.6</v>
      </c>
      <c r="N42" s="969">
        <v>18158</v>
      </c>
      <c r="O42" s="968">
        <f t="shared" si="3"/>
        <v>90.9</v>
      </c>
      <c r="P42" s="967">
        <v>16738</v>
      </c>
      <c r="Q42" s="968">
        <f t="shared" si="4"/>
        <v>83.8</v>
      </c>
      <c r="R42" s="970">
        <v>16476</v>
      </c>
      <c r="S42" s="968">
        <f t="shared" si="5"/>
        <v>82.5</v>
      </c>
      <c r="T42" s="965">
        <v>18100</v>
      </c>
      <c r="U42" s="968">
        <f t="shared" si="6"/>
        <v>90.7</v>
      </c>
      <c r="V42" s="969">
        <v>18102</v>
      </c>
      <c r="W42" s="954">
        <f t="shared" si="7"/>
        <v>90.7</v>
      </c>
      <c r="X42" s="970">
        <v>15970</v>
      </c>
      <c r="Y42" s="966">
        <f t="shared" si="19"/>
        <v>106.7</v>
      </c>
      <c r="Z42" s="971">
        <v>11148</v>
      </c>
      <c r="AA42" s="968">
        <f t="shared" si="20"/>
        <v>74.5</v>
      </c>
      <c r="AB42" s="965">
        <v>18399</v>
      </c>
      <c r="AC42" s="968">
        <f t="shared" si="8"/>
        <v>92.2</v>
      </c>
      <c r="AD42" s="969">
        <v>18303</v>
      </c>
      <c r="AE42" s="968">
        <f t="shared" si="9"/>
        <v>91.7</v>
      </c>
      <c r="AF42" s="972">
        <v>20091</v>
      </c>
      <c r="AG42" s="973">
        <v>18565</v>
      </c>
      <c r="AH42" s="954">
        <f t="shared" si="10"/>
        <v>92.4</v>
      </c>
      <c r="AI42" s="970">
        <v>8034</v>
      </c>
      <c r="AJ42" s="954">
        <f t="shared" si="11"/>
        <v>40</v>
      </c>
      <c r="AK42" s="974">
        <v>11650</v>
      </c>
      <c r="AL42" s="968">
        <f t="shared" si="21"/>
        <v>58</v>
      </c>
      <c r="AM42" s="967">
        <v>18479</v>
      </c>
      <c r="AN42" s="968">
        <f t="shared" si="12"/>
        <v>92</v>
      </c>
      <c r="AO42" s="975">
        <v>74</v>
      </c>
      <c r="AP42" s="966">
        <f t="shared" si="18"/>
        <v>0.36832412523020258</v>
      </c>
      <c r="AQ42" s="975">
        <v>56</v>
      </c>
      <c r="AR42" s="976">
        <v>255</v>
      </c>
      <c r="AS42" s="981">
        <v>18510</v>
      </c>
      <c r="AT42" s="978">
        <f t="shared" si="22"/>
        <v>92.1</v>
      </c>
      <c r="AU42" s="965">
        <v>18434</v>
      </c>
      <c r="AV42" s="968">
        <f t="shared" si="13"/>
        <v>91.8</v>
      </c>
      <c r="AW42" s="965">
        <v>18321</v>
      </c>
      <c r="AX42" s="968">
        <f t="shared" si="14"/>
        <v>91.2</v>
      </c>
      <c r="AY42" s="979">
        <v>21253</v>
      </c>
      <c r="AZ42" s="980">
        <v>18538</v>
      </c>
      <c r="BA42" s="968">
        <f t="shared" si="15"/>
        <v>87.2</v>
      </c>
      <c r="BB42" s="967">
        <v>18535</v>
      </c>
      <c r="BC42" s="954">
        <f t="shared" si="16"/>
        <v>87.2</v>
      </c>
      <c r="BD42" s="965">
        <v>18303</v>
      </c>
      <c r="BE42" s="968">
        <f t="shared" si="17"/>
        <v>86.1</v>
      </c>
      <c r="BF42" s="965">
        <v>25377</v>
      </c>
      <c r="BG42" s="969">
        <v>37935</v>
      </c>
      <c r="BH42" s="981">
        <v>6999</v>
      </c>
      <c r="BI42" s="963" t="s">
        <v>345</v>
      </c>
    </row>
    <row r="43" spans="1:64" ht="17.100000000000001" customHeight="1" x14ac:dyDescent="0.25">
      <c r="A43" s="1137">
        <v>76</v>
      </c>
      <c r="B43" s="1133" t="s">
        <v>360</v>
      </c>
      <c r="C43" s="925">
        <v>59154</v>
      </c>
      <c r="D43" s="965">
        <v>56734</v>
      </c>
      <c r="E43" s="954">
        <f t="shared" si="0"/>
        <v>95.9</v>
      </c>
      <c r="F43" s="965">
        <v>57506</v>
      </c>
      <c r="G43" s="966">
        <f t="shared" si="0"/>
        <v>97.2</v>
      </c>
      <c r="H43" s="967">
        <v>57092</v>
      </c>
      <c r="I43" s="968">
        <f t="shared" si="0"/>
        <v>96.5</v>
      </c>
      <c r="J43" s="965">
        <v>57493</v>
      </c>
      <c r="K43" s="968">
        <f t="shared" si="1"/>
        <v>97.2</v>
      </c>
      <c r="L43" s="969">
        <v>57385</v>
      </c>
      <c r="M43" s="968">
        <f t="shared" si="2"/>
        <v>97</v>
      </c>
      <c r="N43" s="969">
        <v>57279</v>
      </c>
      <c r="O43" s="968">
        <f t="shared" si="3"/>
        <v>96.8</v>
      </c>
      <c r="P43" s="967">
        <v>51074</v>
      </c>
      <c r="Q43" s="968">
        <f t="shared" si="4"/>
        <v>86.3</v>
      </c>
      <c r="R43" s="970">
        <v>50777</v>
      </c>
      <c r="S43" s="968">
        <f t="shared" si="5"/>
        <v>85.8</v>
      </c>
      <c r="T43" s="965">
        <v>57241</v>
      </c>
      <c r="U43" s="968">
        <f t="shared" si="6"/>
        <v>96.8</v>
      </c>
      <c r="V43" s="969">
        <v>57474</v>
      </c>
      <c r="W43" s="954">
        <f t="shared" si="7"/>
        <v>97.2</v>
      </c>
      <c r="X43" s="970">
        <v>40122</v>
      </c>
      <c r="Y43" s="966">
        <f t="shared" si="19"/>
        <v>90.4</v>
      </c>
      <c r="Z43" s="971">
        <v>31068</v>
      </c>
      <c r="AA43" s="968">
        <f t="shared" si="20"/>
        <v>70</v>
      </c>
      <c r="AB43" s="965">
        <v>57665</v>
      </c>
      <c r="AC43" s="968">
        <f t="shared" si="8"/>
        <v>97.5</v>
      </c>
      <c r="AD43" s="969">
        <v>48789</v>
      </c>
      <c r="AE43" s="968">
        <f t="shared" si="9"/>
        <v>82.5</v>
      </c>
      <c r="AF43" s="972">
        <v>58382</v>
      </c>
      <c r="AG43" s="973">
        <v>56615</v>
      </c>
      <c r="AH43" s="954">
        <f t="shared" si="10"/>
        <v>97</v>
      </c>
      <c r="AI43" s="970">
        <v>31119</v>
      </c>
      <c r="AJ43" s="954">
        <f t="shared" si="11"/>
        <v>53.3</v>
      </c>
      <c r="AK43" s="974">
        <v>32622</v>
      </c>
      <c r="AL43" s="968">
        <f t="shared" si="21"/>
        <v>55.9</v>
      </c>
      <c r="AM43" s="967">
        <v>46336</v>
      </c>
      <c r="AN43" s="968">
        <f t="shared" si="12"/>
        <v>79.400000000000006</v>
      </c>
      <c r="AO43" s="975">
        <v>1629</v>
      </c>
      <c r="AP43" s="966">
        <f t="shared" si="18"/>
        <v>2.7902435682230822</v>
      </c>
      <c r="AQ43" s="975">
        <v>1151</v>
      </c>
      <c r="AR43" s="976">
        <v>1003</v>
      </c>
      <c r="AS43" s="981">
        <v>47494</v>
      </c>
      <c r="AT43" s="978">
        <f t="shared" si="22"/>
        <v>81.400000000000006</v>
      </c>
      <c r="AU43" s="965">
        <v>62586</v>
      </c>
      <c r="AV43" s="968">
        <f t="shared" si="13"/>
        <v>107.2</v>
      </c>
      <c r="AW43" s="965">
        <v>60753</v>
      </c>
      <c r="AX43" s="968">
        <f t="shared" si="14"/>
        <v>104.1</v>
      </c>
      <c r="AY43" s="979">
        <v>61003</v>
      </c>
      <c r="AZ43" s="980">
        <v>55527</v>
      </c>
      <c r="BA43" s="968">
        <f t="shared" si="15"/>
        <v>91</v>
      </c>
      <c r="BB43" s="967">
        <v>55584</v>
      </c>
      <c r="BC43" s="954">
        <f t="shared" si="16"/>
        <v>91.1</v>
      </c>
      <c r="BD43" s="965">
        <v>56933</v>
      </c>
      <c r="BE43" s="968">
        <f t="shared" si="17"/>
        <v>93.3</v>
      </c>
      <c r="BF43" s="965">
        <v>44610</v>
      </c>
      <c r="BG43" s="969">
        <v>120296</v>
      </c>
      <c r="BH43" s="981">
        <v>28358</v>
      </c>
      <c r="BI43" s="963" t="s">
        <v>352</v>
      </c>
    </row>
    <row r="44" spans="1:64" ht="17.100000000000001" customHeight="1" x14ac:dyDescent="0.25">
      <c r="A44" s="1137" t="s">
        <v>332</v>
      </c>
      <c r="B44" s="1133" t="s">
        <v>331</v>
      </c>
      <c r="C44" s="925">
        <v>6522</v>
      </c>
      <c r="D44" s="965">
        <v>4313</v>
      </c>
      <c r="E44" s="954">
        <f t="shared" si="0"/>
        <v>66.099999999999994</v>
      </c>
      <c r="F44" s="965">
        <v>4471</v>
      </c>
      <c r="G44" s="966">
        <f t="shared" si="0"/>
        <v>68.599999999999994</v>
      </c>
      <c r="H44" s="967">
        <v>4199</v>
      </c>
      <c r="I44" s="968">
        <f t="shared" si="0"/>
        <v>64.400000000000006</v>
      </c>
      <c r="J44" s="965">
        <v>4702</v>
      </c>
      <c r="K44" s="968">
        <f t="shared" si="1"/>
        <v>72.099999999999994</v>
      </c>
      <c r="L44" s="969">
        <v>4467</v>
      </c>
      <c r="M44" s="968">
        <f t="shared" si="2"/>
        <v>68.5</v>
      </c>
      <c r="N44" s="969">
        <v>4184</v>
      </c>
      <c r="O44" s="968">
        <f t="shared" si="3"/>
        <v>64.2</v>
      </c>
      <c r="P44" s="967">
        <v>4720</v>
      </c>
      <c r="Q44" s="968">
        <f t="shared" si="4"/>
        <v>72.400000000000006</v>
      </c>
      <c r="R44" s="970">
        <v>4517</v>
      </c>
      <c r="S44" s="968">
        <f t="shared" si="5"/>
        <v>69.3</v>
      </c>
      <c r="T44" s="965">
        <v>4263</v>
      </c>
      <c r="U44" s="968">
        <f t="shared" si="6"/>
        <v>65.400000000000006</v>
      </c>
      <c r="V44" s="969">
        <v>4192</v>
      </c>
      <c r="W44" s="954">
        <f t="shared" si="7"/>
        <v>64.3</v>
      </c>
      <c r="X44" s="970">
        <v>3779</v>
      </c>
      <c r="Y44" s="966">
        <f t="shared" si="19"/>
        <v>77.3</v>
      </c>
      <c r="Z44" s="971">
        <v>2401</v>
      </c>
      <c r="AA44" s="968">
        <f t="shared" si="20"/>
        <v>49.1</v>
      </c>
      <c r="AB44" s="965">
        <v>4701</v>
      </c>
      <c r="AC44" s="968">
        <f t="shared" si="8"/>
        <v>72.099999999999994</v>
      </c>
      <c r="AD44" s="969">
        <v>4438</v>
      </c>
      <c r="AE44" s="968">
        <f t="shared" si="9"/>
        <v>68</v>
      </c>
      <c r="AF44" s="972">
        <v>6369</v>
      </c>
      <c r="AG44" s="973">
        <v>4956</v>
      </c>
      <c r="AH44" s="954">
        <f t="shared" si="10"/>
        <v>77.8</v>
      </c>
      <c r="AI44" s="970">
        <v>1887</v>
      </c>
      <c r="AJ44" s="954">
        <f t="shared" si="11"/>
        <v>29.6</v>
      </c>
      <c r="AK44" s="974">
        <v>3129</v>
      </c>
      <c r="AL44" s="968">
        <f t="shared" si="21"/>
        <v>49.1</v>
      </c>
      <c r="AM44" s="967">
        <v>4734</v>
      </c>
      <c r="AN44" s="968">
        <f t="shared" si="12"/>
        <v>74.3</v>
      </c>
      <c r="AO44" s="975">
        <v>186</v>
      </c>
      <c r="AP44" s="966">
        <f t="shared" si="18"/>
        <v>2.920395666509656</v>
      </c>
      <c r="AQ44" s="975">
        <v>118</v>
      </c>
      <c r="AR44" s="976">
        <v>140</v>
      </c>
      <c r="AS44" s="981">
        <v>4917</v>
      </c>
      <c r="AT44" s="978">
        <f t="shared" si="22"/>
        <v>77.2</v>
      </c>
      <c r="AU44" s="965">
        <v>5102</v>
      </c>
      <c r="AV44" s="968">
        <f>ROUND(AU44/$AF44*100,1)</f>
        <v>80.099999999999994</v>
      </c>
      <c r="AW44" s="965">
        <v>4225</v>
      </c>
      <c r="AX44" s="968">
        <f t="shared" si="14"/>
        <v>66.3</v>
      </c>
      <c r="AY44" s="979">
        <v>7012</v>
      </c>
      <c r="AZ44" s="980">
        <v>3896</v>
      </c>
      <c r="BA44" s="968">
        <f t="shared" si="15"/>
        <v>55.6</v>
      </c>
      <c r="BB44" s="967">
        <v>3348</v>
      </c>
      <c r="BC44" s="954">
        <f t="shared" si="16"/>
        <v>47.7</v>
      </c>
      <c r="BD44" s="965">
        <v>3748</v>
      </c>
      <c r="BE44" s="968">
        <f t="shared" si="17"/>
        <v>53.5</v>
      </c>
      <c r="BF44" s="965">
        <v>2624</v>
      </c>
      <c r="BG44" s="969">
        <v>3924</v>
      </c>
      <c r="BH44" s="981">
        <v>3230</v>
      </c>
      <c r="BI44" s="963" t="s">
        <v>352</v>
      </c>
    </row>
    <row r="45" spans="1:64" ht="17.100000000000001" customHeight="1" x14ac:dyDescent="0.25">
      <c r="A45" s="1137">
        <v>97</v>
      </c>
      <c r="B45" s="1133" t="s">
        <v>39</v>
      </c>
      <c r="C45" s="925">
        <v>906</v>
      </c>
      <c r="D45" s="965">
        <v>813</v>
      </c>
      <c r="E45" s="954">
        <f t="shared" si="0"/>
        <v>89.7</v>
      </c>
      <c r="F45" s="965">
        <v>805</v>
      </c>
      <c r="G45" s="966">
        <f t="shared" si="0"/>
        <v>88.9</v>
      </c>
      <c r="H45" s="967">
        <v>716</v>
      </c>
      <c r="I45" s="968">
        <f t="shared" si="0"/>
        <v>79</v>
      </c>
      <c r="J45" s="965">
        <v>817</v>
      </c>
      <c r="K45" s="968">
        <f t="shared" si="1"/>
        <v>90.2</v>
      </c>
      <c r="L45" s="969">
        <v>813</v>
      </c>
      <c r="M45" s="968">
        <f t="shared" si="2"/>
        <v>89.7</v>
      </c>
      <c r="N45" s="969">
        <v>729</v>
      </c>
      <c r="O45" s="968">
        <f t="shared" si="3"/>
        <v>80.5</v>
      </c>
      <c r="P45" s="967">
        <v>806</v>
      </c>
      <c r="Q45" s="968">
        <f t="shared" si="4"/>
        <v>89</v>
      </c>
      <c r="R45" s="970">
        <v>554</v>
      </c>
      <c r="S45" s="968">
        <f t="shared" si="5"/>
        <v>61.1</v>
      </c>
      <c r="T45" s="965">
        <v>654</v>
      </c>
      <c r="U45" s="968">
        <f t="shared" si="6"/>
        <v>72.2</v>
      </c>
      <c r="V45" s="969">
        <v>666</v>
      </c>
      <c r="W45" s="954">
        <f t="shared" si="7"/>
        <v>73.5</v>
      </c>
      <c r="X45" s="970">
        <v>555</v>
      </c>
      <c r="Y45" s="966">
        <f t="shared" si="19"/>
        <v>81.7</v>
      </c>
      <c r="Z45" s="971">
        <v>389</v>
      </c>
      <c r="AA45" s="968">
        <f t="shared" si="20"/>
        <v>57.2</v>
      </c>
      <c r="AB45" s="965">
        <v>756</v>
      </c>
      <c r="AC45" s="968">
        <f t="shared" si="8"/>
        <v>83.4</v>
      </c>
      <c r="AD45" s="969">
        <v>718</v>
      </c>
      <c r="AE45" s="968">
        <f t="shared" si="9"/>
        <v>79.2</v>
      </c>
      <c r="AF45" s="972">
        <v>907</v>
      </c>
      <c r="AG45" s="973">
        <v>763</v>
      </c>
      <c r="AH45" s="954">
        <f t="shared" si="10"/>
        <v>84.1</v>
      </c>
      <c r="AI45" s="970">
        <v>353</v>
      </c>
      <c r="AJ45" s="954">
        <f t="shared" si="11"/>
        <v>38.9</v>
      </c>
      <c r="AK45" s="974">
        <v>628</v>
      </c>
      <c r="AL45" s="968">
        <f t="shared" si="21"/>
        <v>69.2</v>
      </c>
      <c r="AM45" s="967">
        <v>686</v>
      </c>
      <c r="AN45" s="968">
        <f t="shared" si="12"/>
        <v>75.599999999999994</v>
      </c>
      <c r="AO45" s="975">
        <v>7</v>
      </c>
      <c r="AP45" s="966">
        <f t="shared" si="18"/>
        <v>0.77177508269018735</v>
      </c>
      <c r="AQ45" s="975">
        <v>25</v>
      </c>
      <c r="AR45" s="976">
        <v>24</v>
      </c>
      <c r="AS45" s="981">
        <v>762</v>
      </c>
      <c r="AT45" s="978">
        <f t="shared" si="22"/>
        <v>84</v>
      </c>
      <c r="AU45" s="965">
        <v>708</v>
      </c>
      <c r="AV45" s="968">
        <f t="shared" si="13"/>
        <v>78.099999999999994</v>
      </c>
      <c r="AW45" s="965">
        <v>673</v>
      </c>
      <c r="AX45" s="968">
        <f t="shared" si="14"/>
        <v>74.2</v>
      </c>
      <c r="AY45" s="979">
        <v>866</v>
      </c>
      <c r="AZ45" s="980">
        <v>611</v>
      </c>
      <c r="BA45" s="968">
        <f t="shared" si="15"/>
        <v>70.599999999999994</v>
      </c>
      <c r="BB45" s="967">
        <v>612</v>
      </c>
      <c r="BC45" s="954">
        <f t="shared" si="16"/>
        <v>70.7</v>
      </c>
      <c r="BD45" s="965">
        <v>581</v>
      </c>
      <c r="BE45" s="968">
        <f t="shared" si="17"/>
        <v>67.099999999999994</v>
      </c>
      <c r="BF45" s="965">
        <v>112</v>
      </c>
      <c r="BG45" s="969">
        <v>424</v>
      </c>
      <c r="BH45" s="981">
        <v>351</v>
      </c>
      <c r="BI45" s="963" t="s">
        <v>344</v>
      </c>
    </row>
    <row r="46" spans="1:64" ht="17.100000000000001" customHeight="1" thickBot="1" x14ac:dyDescent="0.3">
      <c r="A46" s="1138">
        <v>99</v>
      </c>
      <c r="B46" s="1135" t="s">
        <v>40</v>
      </c>
      <c r="C46" s="926">
        <v>1620</v>
      </c>
      <c r="D46" s="965">
        <v>1620</v>
      </c>
      <c r="E46" s="954">
        <f t="shared" si="0"/>
        <v>100</v>
      </c>
      <c r="F46" s="995">
        <v>1377</v>
      </c>
      <c r="G46" s="996">
        <f t="shared" si="0"/>
        <v>85</v>
      </c>
      <c r="H46" s="997">
        <v>1131</v>
      </c>
      <c r="I46" s="998">
        <f t="shared" si="0"/>
        <v>69.8</v>
      </c>
      <c r="J46" s="999">
        <v>1646</v>
      </c>
      <c r="K46" s="947">
        <f t="shared" si="1"/>
        <v>101.6</v>
      </c>
      <c r="L46" s="1000">
        <v>1385</v>
      </c>
      <c r="M46" s="947">
        <f t="shared" si="2"/>
        <v>85.5</v>
      </c>
      <c r="N46" s="1000">
        <v>1136</v>
      </c>
      <c r="O46" s="947">
        <f t="shared" si="3"/>
        <v>70.099999999999994</v>
      </c>
      <c r="P46" s="1001">
        <v>1343</v>
      </c>
      <c r="Q46" s="947">
        <f t="shared" si="4"/>
        <v>82.9</v>
      </c>
      <c r="R46" s="1002">
        <v>821</v>
      </c>
      <c r="S46" s="947">
        <f t="shared" si="5"/>
        <v>50.7</v>
      </c>
      <c r="T46" s="999">
        <v>1147</v>
      </c>
      <c r="U46" s="1003">
        <f t="shared" si="6"/>
        <v>70.8</v>
      </c>
      <c r="V46" s="1000">
        <v>1100</v>
      </c>
      <c r="W46" s="943">
        <f t="shared" si="7"/>
        <v>67.900000000000006</v>
      </c>
      <c r="X46" s="1004">
        <v>887</v>
      </c>
      <c r="Y46" s="966">
        <f t="shared" si="19"/>
        <v>73</v>
      </c>
      <c r="Z46" s="1005">
        <v>387</v>
      </c>
      <c r="AA46" s="968">
        <f t="shared" si="20"/>
        <v>31.9</v>
      </c>
      <c r="AB46" s="999">
        <v>1610</v>
      </c>
      <c r="AC46" s="947">
        <f t="shared" si="8"/>
        <v>99.4</v>
      </c>
      <c r="AD46" s="1000">
        <v>1381</v>
      </c>
      <c r="AE46" s="947">
        <f t="shared" si="9"/>
        <v>85.2</v>
      </c>
      <c r="AF46" s="1006">
        <v>1899</v>
      </c>
      <c r="AG46" s="1007">
        <v>1639</v>
      </c>
      <c r="AH46" s="943">
        <f t="shared" si="10"/>
        <v>86.3</v>
      </c>
      <c r="AI46" s="1002">
        <v>517</v>
      </c>
      <c r="AJ46" s="954">
        <f t="shared" si="11"/>
        <v>27.2</v>
      </c>
      <c r="AK46" s="1008">
        <v>1139</v>
      </c>
      <c r="AL46" s="1009">
        <f t="shared" si="21"/>
        <v>60</v>
      </c>
      <c r="AM46" s="1001">
        <v>1480</v>
      </c>
      <c r="AN46" s="947">
        <f t="shared" si="12"/>
        <v>77.900000000000006</v>
      </c>
      <c r="AO46" s="1010">
        <v>76</v>
      </c>
      <c r="AP46" s="1011">
        <f t="shared" si="18"/>
        <v>4.0021063717746186</v>
      </c>
      <c r="AQ46" s="1010">
        <v>136</v>
      </c>
      <c r="AR46" s="1012">
        <v>51</v>
      </c>
      <c r="AS46" s="1013">
        <v>1637</v>
      </c>
      <c r="AT46" s="1014">
        <f t="shared" si="22"/>
        <v>86.2</v>
      </c>
      <c r="AU46" s="999">
        <v>1780</v>
      </c>
      <c r="AV46" s="947">
        <f t="shared" si="13"/>
        <v>93.7</v>
      </c>
      <c r="AW46" s="999">
        <v>1791</v>
      </c>
      <c r="AX46" s="947">
        <f t="shared" si="14"/>
        <v>94.3</v>
      </c>
      <c r="AY46" s="1015">
        <v>1609</v>
      </c>
      <c r="AZ46" s="1016">
        <v>992</v>
      </c>
      <c r="BA46" s="998">
        <f t="shared" si="15"/>
        <v>61.7</v>
      </c>
      <c r="BB46" s="1001">
        <v>997</v>
      </c>
      <c r="BC46" s="943">
        <f t="shared" si="16"/>
        <v>62</v>
      </c>
      <c r="BD46" s="999">
        <v>1008</v>
      </c>
      <c r="BE46" s="947">
        <f t="shared" si="17"/>
        <v>62.6</v>
      </c>
      <c r="BF46" s="999">
        <v>807</v>
      </c>
      <c r="BG46" s="1000">
        <v>1131</v>
      </c>
      <c r="BH46" s="1013">
        <v>250</v>
      </c>
      <c r="BI46" s="963" t="s">
        <v>346</v>
      </c>
    </row>
    <row r="47" spans="1:64" ht="20.100000000000001" customHeight="1" thickBot="1" x14ac:dyDescent="0.3">
      <c r="B47" s="1017" t="s">
        <v>41</v>
      </c>
      <c r="C47" s="1018">
        <f>SUM(C10:C46)</f>
        <v>745573</v>
      </c>
      <c r="D47" s="1019">
        <f>SUM(D10:D46)</f>
        <v>686610</v>
      </c>
      <c r="E47" s="1020">
        <f t="shared" si="0"/>
        <v>92.1</v>
      </c>
      <c r="F47" s="1021">
        <f>SUM(F10:F46)</f>
        <v>690084</v>
      </c>
      <c r="G47" s="1022">
        <f t="shared" si="0"/>
        <v>92.6</v>
      </c>
      <c r="H47" s="1021">
        <f>SUM(H10:H46)</f>
        <v>681095</v>
      </c>
      <c r="I47" s="1022">
        <f t="shared" si="0"/>
        <v>91.4</v>
      </c>
      <c r="J47" s="1023">
        <f>SUM(J10:J46)</f>
        <v>692301</v>
      </c>
      <c r="K47" s="1020">
        <f t="shared" si="1"/>
        <v>92.9</v>
      </c>
      <c r="L47" s="1023">
        <f>SUM(L10:L46)</f>
        <v>689292</v>
      </c>
      <c r="M47" s="1020">
        <f t="shared" si="2"/>
        <v>92.5</v>
      </c>
      <c r="N47" s="1023">
        <f>SUM(N10:N46)</f>
        <v>681352</v>
      </c>
      <c r="O47" s="1020">
        <f t="shared" si="3"/>
        <v>91.4</v>
      </c>
      <c r="P47" s="1023">
        <f>SUM(P10:P46)</f>
        <v>668506</v>
      </c>
      <c r="Q47" s="1020">
        <f t="shared" si="4"/>
        <v>89.7</v>
      </c>
      <c r="R47" s="1023">
        <f>SUM(R10:R46)</f>
        <v>650930</v>
      </c>
      <c r="S47" s="1020">
        <f t="shared" si="5"/>
        <v>87.3</v>
      </c>
      <c r="T47" s="1024">
        <f>SUM(T10:T46)</f>
        <v>673939</v>
      </c>
      <c r="U47" s="1025">
        <f t="shared" si="6"/>
        <v>90.4</v>
      </c>
      <c r="V47" s="1023">
        <f>SUM(V10:V46)</f>
        <v>676578</v>
      </c>
      <c r="W47" s="1026">
        <f t="shared" si="7"/>
        <v>90.7</v>
      </c>
      <c r="X47" s="1021">
        <f>SUM(X10:X46)</f>
        <v>549456</v>
      </c>
      <c r="Y47" s="1027">
        <f t="shared" si="19"/>
        <v>98.3</v>
      </c>
      <c r="Z47" s="1021">
        <f>SUM(Z10:Z46)</f>
        <v>384989</v>
      </c>
      <c r="AA47" s="1028">
        <f t="shared" si="20"/>
        <v>68.8</v>
      </c>
      <c r="AB47" s="1024">
        <f>SUM(AB10:AB46)</f>
        <v>691487</v>
      </c>
      <c r="AC47" s="1020">
        <f t="shared" si="8"/>
        <v>92.7</v>
      </c>
      <c r="AD47" s="1023">
        <f>SUM(AD10:AD46)</f>
        <v>681473</v>
      </c>
      <c r="AE47" s="1020">
        <f t="shared" si="9"/>
        <v>91.4</v>
      </c>
      <c r="AF47" s="1029">
        <f>SUM(AF10:AF46)</f>
        <v>748031</v>
      </c>
      <c r="AG47" s="1024">
        <f>SUM(AG10:AG46)</f>
        <v>703280</v>
      </c>
      <c r="AH47" s="1026">
        <f t="shared" si="10"/>
        <v>94</v>
      </c>
      <c r="AI47" s="1019">
        <f>SUM(AI10:AI46)</f>
        <v>349556</v>
      </c>
      <c r="AJ47" s="968">
        <f t="shared" si="11"/>
        <v>46.7</v>
      </c>
      <c r="AK47" s="1030">
        <f>SUM(AK10:AK46)</f>
        <v>406150</v>
      </c>
      <c r="AL47" s="1022">
        <f>ROUND(AK47/$AF47*100,1)</f>
        <v>54.3</v>
      </c>
      <c r="AM47" s="1023">
        <f>SUM(AM10:AM46)</f>
        <v>680957</v>
      </c>
      <c r="AN47" s="1031">
        <f t="shared" si="12"/>
        <v>91</v>
      </c>
      <c r="AO47" s="1023">
        <f>SUM(AO10:AO46)</f>
        <v>7434</v>
      </c>
      <c r="AP47" s="1020">
        <f t="shared" si="18"/>
        <v>0.99380908010496882</v>
      </c>
      <c r="AQ47" s="1023">
        <f>SUM(AQ10:AQ46)</f>
        <v>8717</v>
      </c>
      <c r="AR47" s="1032">
        <f>SUM(AR10:AR46)</f>
        <v>11217</v>
      </c>
      <c r="AS47" s="1032">
        <f>SUM(AS10:AS46)</f>
        <v>701695</v>
      </c>
      <c r="AT47" s="1020">
        <f>ROUND(AS47/$AF47*100,1)</f>
        <v>93.8</v>
      </c>
      <c r="AU47" s="1033">
        <f>SUM(AU10:AU46)</f>
        <v>697871</v>
      </c>
      <c r="AV47" s="1020">
        <f t="shared" si="13"/>
        <v>93.3</v>
      </c>
      <c r="AW47" s="1024">
        <f>SUM(AW10:AW46)</f>
        <v>692397</v>
      </c>
      <c r="AX47" s="1020">
        <f t="shared" si="14"/>
        <v>92.6</v>
      </c>
      <c r="AY47" s="1034">
        <f>SUM(AY10:AY46)</f>
        <v>770724</v>
      </c>
      <c r="AZ47" s="1023">
        <f>SUM(AZ10:AZ46)</f>
        <v>660162</v>
      </c>
      <c r="BA47" s="1020">
        <f t="shared" si="15"/>
        <v>85.7</v>
      </c>
      <c r="BB47" s="1023">
        <f>SUM(BB10:BB46)</f>
        <v>662311</v>
      </c>
      <c r="BC47" s="1026">
        <f t="shared" si="16"/>
        <v>85.9</v>
      </c>
      <c r="BD47" s="1019">
        <f>SUM(BD10:BD46)</f>
        <v>660104</v>
      </c>
      <c r="BE47" s="1025">
        <f t="shared" si="17"/>
        <v>85.6</v>
      </c>
      <c r="BF47" s="1035">
        <f>SUM(BF10:BF46)</f>
        <v>345404</v>
      </c>
      <c r="BG47" s="1034">
        <f>SUM(BG10:BG46)</f>
        <v>1707946</v>
      </c>
      <c r="BH47" s="1036">
        <f>SUM(BH10:BH46)</f>
        <v>404253</v>
      </c>
    </row>
    <row r="48" spans="1:64" x14ac:dyDescent="0.25">
      <c r="B48" s="1037" t="s">
        <v>227</v>
      </c>
      <c r="E48" s="1038">
        <f>E47-$C$59</f>
        <v>-7.9000000000000057</v>
      </c>
      <c r="F48" s="1038"/>
      <c r="G48" s="1038"/>
      <c r="I48" s="1038">
        <f>I47-$C$59</f>
        <v>-8.5999999999999943</v>
      </c>
      <c r="J48" s="1039"/>
      <c r="K48" s="1038">
        <f>K47-$C$59</f>
        <v>-7.0999999999999943</v>
      </c>
      <c r="L48" s="1039"/>
      <c r="M48" s="1038">
        <f>M47-$C$59</f>
        <v>-7.5</v>
      </c>
      <c r="N48" s="1039"/>
      <c r="O48" s="1038">
        <f>O47-$C$59</f>
        <v>-8.5999999999999943</v>
      </c>
      <c r="P48" s="1039"/>
      <c r="Q48" s="1038">
        <f>Q47-$C$59</f>
        <v>-10.299999999999997</v>
      </c>
      <c r="R48" s="1038"/>
      <c r="S48" s="1038">
        <f>S47-$C$59</f>
        <v>-12.700000000000003</v>
      </c>
      <c r="T48" s="1039"/>
      <c r="U48" s="1038">
        <f>U47-$C$59</f>
        <v>-9.5999999999999943</v>
      </c>
      <c r="V48" s="1039"/>
      <c r="W48" s="1038">
        <f>W47-$C$59</f>
        <v>-9.2999999999999972</v>
      </c>
      <c r="X48" s="1038"/>
      <c r="Y48" s="1038"/>
      <c r="Z48" s="1038"/>
      <c r="AA48" s="1038"/>
      <c r="AB48" s="1039"/>
      <c r="AC48" s="1038">
        <f>AC47-$C$59</f>
        <v>-7.2999999999999972</v>
      </c>
      <c r="AD48" s="1039"/>
      <c r="AE48" s="1038">
        <f>AE47-$C$59</f>
        <v>-8.5999999999999943</v>
      </c>
      <c r="AF48" s="1039"/>
      <c r="AG48" s="1039"/>
      <c r="AH48" s="1038">
        <f>AH47-$C$59</f>
        <v>-6</v>
      </c>
      <c r="AI48" s="1038"/>
      <c r="AJ48" s="1038"/>
      <c r="AK48" s="1039"/>
      <c r="AL48" s="1038">
        <f>AL47-$C$59</f>
        <v>-45.7</v>
      </c>
      <c r="AM48" s="1039"/>
      <c r="AN48" s="1038">
        <f>AN47-$C$59</f>
        <v>-9</v>
      </c>
      <c r="AP48" s="1040"/>
      <c r="AV48" s="1038">
        <f>AV47-$C$59</f>
        <v>-6.7000000000000028</v>
      </c>
      <c r="AX48" s="1038">
        <f>AX47-$C$59</f>
        <v>-7.4000000000000057</v>
      </c>
      <c r="BA48" s="1038">
        <f>BA47-$C$59</f>
        <v>-14.299999999999997</v>
      </c>
      <c r="BC48" s="1038">
        <f>BC47-$C$59</f>
        <v>-14.099999999999994</v>
      </c>
      <c r="BE48" s="1038">
        <f>BE47-$C$59</f>
        <v>-14.400000000000006</v>
      </c>
    </row>
    <row r="49" spans="2:61" x14ac:dyDescent="0.25">
      <c r="B49" s="1041" t="s">
        <v>228</v>
      </c>
      <c r="C49" s="1042">
        <v>42368</v>
      </c>
      <c r="D49" s="1043">
        <v>12</v>
      </c>
      <c r="E49" s="1042"/>
      <c r="F49" s="1042"/>
      <c r="G49" s="1042"/>
      <c r="I49" s="1044"/>
    </row>
    <row r="50" spans="2:61" x14ac:dyDescent="0.25">
      <c r="B50" s="963" t="s">
        <v>229</v>
      </c>
      <c r="C50" s="1042">
        <v>42425</v>
      </c>
      <c r="E50" s="938">
        <f>ROUND((E47/$D$49)*12,1)</f>
        <v>92.1</v>
      </c>
      <c r="F50" s="1045"/>
      <c r="G50" s="1045"/>
      <c r="H50" s="938"/>
      <c r="I50" s="938">
        <f>ROUND((I47/$D$49)*12,1)</f>
        <v>91.4</v>
      </c>
      <c r="J50" s="938"/>
      <c r="K50" s="938"/>
      <c r="L50" s="938"/>
      <c r="M50" s="938"/>
      <c r="N50" s="938"/>
      <c r="O50" s="938">
        <f>ROUND((O47/$D$49)*12,1)</f>
        <v>91.4</v>
      </c>
      <c r="P50" s="938"/>
      <c r="Q50" s="938">
        <f>ROUND((Q47/$D$49)*12,1)</f>
        <v>89.7</v>
      </c>
      <c r="R50" s="938"/>
      <c r="S50" s="938"/>
      <c r="T50" s="938"/>
      <c r="U50" s="938"/>
      <c r="V50" s="938"/>
      <c r="W50" s="938"/>
      <c r="X50" s="938"/>
      <c r="Y50" s="938"/>
      <c r="Z50" s="938"/>
      <c r="AA50" s="938"/>
      <c r="AB50" s="938"/>
      <c r="AC50" s="938"/>
      <c r="AD50" s="938"/>
      <c r="AE50" s="938"/>
      <c r="AF50" s="938"/>
      <c r="AG50" s="938"/>
      <c r="AH50" s="1046">
        <f>ROUND((AH47/$D$49)*12,1)</f>
        <v>94</v>
      </c>
      <c r="AI50" s="1046"/>
      <c r="AJ50" s="1046"/>
      <c r="AK50" s="938"/>
      <c r="AL50" s="938">
        <f>ROUND((AL47/$D$49)*12,1)</f>
        <v>54.3</v>
      </c>
      <c r="AM50" s="938"/>
      <c r="AN50" s="938"/>
      <c r="AO50" s="938"/>
      <c r="AP50" s="938"/>
      <c r="AQ50" s="938"/>
      <c r="AR50" s="938"/>
      <c r="AS50" s="938"/>
      <c r="AT50" s="938">
        <f>ROUND((AT47/$D$49)*12,1)</f>
        <v>93.8</v>
      </c>
    </row>
    <row r="51" spans="2:61" ht="15.75" thickBot="1" x14ac:dyDescent="0.3">
      <c r="B51" s="939" t="s">
        <v>361</v>
      </c>
      <c r="C51" s="1042"/>
      <c r="E51" s="938"/>
      <c r="F51" s="1045"/>
      <c r="G51" s="1045"/>
      <c r="H51" s="938"/>
      <c r="I51" s="938"/>
      <c r="J51" s="938"/>
      <c r="K51" s="938"/>
      <c r="L51" s="938"/>
      <c r="M51" s="938"/>
      <c r="N51" s="938"/>
      <c r="O51" s="938"/>
      <c r="P51" s="938"/>
      <c r="Q51" s="938"/>
      <c r="R51" s="938"/>
      <c r="S51" s="938"/>
      <c r="T51" s="938"/>
      <c r="U51" s="938"/>
      <c r="V51" s="938"/>
      <c r="W51" s="938"/>
      <c r="X51" s="938"/>
      <c r="Y51" s="938"/>
      <c r="Z51" s="938"/>
      <c r="AA51" s="938"/>
      <c r="AB51" s="938"/>
      <c r="AC51" s="938"/>
      <c r="AD51" s="938"/>
      <c r="AE51" s="938"/>
      <c r="AF51" s="938"/>
      <c r="AG51" s="938"/>
      <c r="AH51" s="1046"/>
      <c r="AI51" s="1046"/>
      <c r="AJ51" s="1046"/>
      <c r="AK51" s="938"/>
      <c r="AL51" s="938"/>
      <c r="AM51" s="938"/>
      <c r="AN51" s="938"/>
      <c r="AO51" s="938"/>
      <c r="AP51" s="938"/>
      <c r="AQ51" s="938"/>
      <c r="AR51" s="938"/>
      <c r="AS51" s="938"/>
      <c r="AT51" s="938"/>
    </row>
    <row r="52" spans="2:61" s="939" customFormat="1" ht="23.25" customHeight="1" thickBot="1" x14ac:dyDescent="0.25">
      <c r="B52" s="1047" t="s">
        <v>362</v>
      </c>
      <c r="E52" s="1048"/>
      <c r="F52" s="1048"/>
      <c r="G52" s="1048"/>
      <c r="I52" s="1049">
        <f>AVERAGE(I48,O48,Q48,W48,AH48,AL48,AE48)</f>
        <v>-13.871428571428568</v>
      </c>
      <c r="AI52" s="1915" t="s">
        <v>363</v>
      </c>
      <c r="AJ52" s="1916"/>
    </row>
    <row r="53" spans="2:61" s="939" customFormat="1" ht="11.25" x14ac:dyDescent="0.2">
      <c r="B53" s="1050" t="s">
        <v>238</v>
      </c>
      <c r="C53" s="1048">
        <v>100.01</v>
      </c>
      <c r="D53" s="1048"/>
      <c r="E53" s="1051"/>
      <c r="AI53" s="1052" t="s">
        <v>364</v>
      </c>
      <c r="AJ53" s="1053">
        <v>50.01</v>
      </c>
    </row>
    <row r="54" spans="2:61" s="939" customFormat="1" ht="11.25" x14ac:dyDescent="0.2">
      <c r="B54" s="1054" t="s">
        <v>465</v>
      </c>
      <c r="C54" s="1055">
        <v>95</v>
      </c>
      <c r="D54" s="1048">
        <v>100</v>
      </c>
      <c r="E54" s="1051"/>
      <c r="AI54" s="1056">
        <v>47.5</v>
      </c>
      <c r="AJ54" s="1057">
        <v>50</v>
      </c>
    </row>
    <row r="55" spans="2:61" s="939" customFormat="1" ht="11.25" x14ac:dyDescent="0.2">
      <c r="B55" s="1058" t="s">
        <v>336</v>
      </c>
      <c r="C55" s="1055">
        <v>90</v>
      </c>
      <c r="D55" s="1048">
        <v>94.99</v>
      </c>
      <c r="E55" s="1051"/>
      <c r="AI55" s="1059">
        <v>45</v>
      </c>
      <c r="AJ55" s="1060">
        <v>47.49</v>
      </c>
    </row>
    <row r="56" spans="2:61" s="939" customFormat="1" ht="11.25" x14ac:dyDescent="0.2">
      <c r="B56" s="1061" t="s">
        <v>337</v>
      </c>
      <c r="C56" s="1055">
        <v>80</v>
      </c>
      <c r="D56" s="1048">
        <v>89.99</v>
      </c>
      <c r="E56" s="1051"/>
      <c r="AI56" s="1062">
        <v>40</v>
      </c>
      <c r="AJ56" s="1063">
        <v>44.99</v>
      </c>
    </row>
    <row r="57" spans="2:61" s="939" customFormat="1" ht="18.75" customHeight="1" x14ac:dyDescent="0.2">
      <c r="B57" s="1064" t="s">
        <v>466</v>
      </c>
      <c r="C57" s="1055">
        <v>50</v>
      </c>
      <c r="D57" s="1048">
        <v>79.989999999999995</v>
      </c>
      <c r="E57" s="1051"/>
      <c r="AI57" s="1065">
        <v>25</v>
      </c>
      <c r="AJ57" s="1066">
        <v>39.99</v>
      </c>
    </row>
    <row r="58" spans="2:61" s="939" customFormat="1" ht="15.75" customHeight="1" x14ac:dyDescent="0.2">
      <c r="B58" s="1067" t="s">
        <v>339</v>
      </c>
      <c r="C58" s="1055">
        <v>0.1</v>
      </c>
      <c r="D58" s="1048">
        <v>49.99</v>
      </c>
      <c r="E58" s="1068"/>
      <c r="AI58" s="1069">
        <v>0.1</v>
      </c>
      <c r="AJ58" s="1070">
        <v>24.99</v>
      </c>
    </row>
    <row r="59" spans="2:61" s="939" customFormat="1" ht="15" customHeight="1" x14ac:dyDescent="0.2">
      <c r="B59" s="1071" t="s">
        <v>244</v>
      </c>
      <c r="C59" s="1072">
        <f>(100/12)*D49</f>
        <v>100</v>
      </c>
      <c r="D59" s="1073"/>
      <c r="E59" s="1074"/>
      <c r="F59" s="1075"/>
      <c r="G59" s="1076"/>
    </row>
    <row r="60" spans="2:61" ht="15" customHeight="1" x14ac:dyDescent="0.25">
      <c r="AI60" s="1077"/>
      <c r="AJ60" s="1077"/>
    </row>
    <row r="61" spans="2:61" ht="15" customHeight="1" x14ac:dyDescent="0.25">
      <c r="B61" s="1078"/>
      <c r="C61" s="1079"/>
      <c r="N61" s="1079"/>
      <c r="BI61" s="964">
        <v>0</v>
      </c>
    </row>
    <row r="62" spans="2:61" ht="15" customHeight="1" x14ac:dyDescent="0.25">
      <c r="B62" s="963"/>
      <c r="C62" s="1080"/>
      <c r="N62" s="1080"/>
    </row>
    <row r="63" spans="2:61" x14ac:dyDescent="0.25">
      <c r="B63" s="963"/>
      <c r="C63" s="1080"/>
      <c r="N63" s="1080"/>
    </row>
    <row r="64" spans="2:61" x14ac:dyDescent="0.25">
      <c r="B64" s="963"/>
      <c r="C64" s="1080"/>
      <c r="N64" s="1080"/>
    </row>
    <row r="65" spans="2:14" x14ac:dyDescent="0.25">
      <c r="B65" s="963"/>
      <c r="C65" s="1080"/>
      <c r="N65" s="1080"/>
    </row>
  </sheetData>
  <mergeCells count="1">
    <mergeCell ref="AI52:AJ52"/>
  </mergeCells>
  <conditionalFormatting sqref="AJ10:AJ47">
    <cfRule type="cellIs" dxfId="653" priority="13" stopIfTrue="1" operator="between">
      <formula>$AI$58</formula>
      <formula>$AJ$58</formula>
    </cfRule>
    <cfRule type="cellIs" dxfId="652" priority="14" stopIfTrue="1" operator="between">
      <formula>$AI$57</formula>
      <formula>$AJ$57</formula>
    </cfRule>
    <cfRule type="cellIs" dxfId="651" priority="15" stopIfTrue="1" operator="greaterThanOrEqual">
      <formula>$AJ$53</formula>
    </cfRule>
    <cfRule type="cellIs" dxfId="650" priority="16" stopIfTrue="1" operator="between">
      <formula>$AI$56</formula>
      <formula>$AJ$56</formula>
    </cfRule>
    <cfRule type="cellIs" dxfId="649" priority="17" stopIfTrue="1" operator="between">
      <formula>$AI$55</formula>
      <formula>$AJ$55</formula>
    </cfRule>
    <cfRule type="cellIs" dxfId="648" priority="18" stopIfTrue="1" operator="between">
      <formula>$AI$54</formula>
      <formula>$AJ$54</formula>
    </cfRule>
  </conditionalFormatting>
  <conditionalFormatting sqref="I10:I47 K10:K47 M10:M47 O10:O47 Q10:Q47 S10:S47 AC10:AC47 AE10:AE47 AN10:AN47 AV10:AV47 AX10:AX47 BA10:BA47 BC10:BC47 BE10:BE47 W10:W47 Y10:Y47 AA10:AA47 AT10:AT47 AH10:AH47 E10:E47 G10:G47 AL10:AL47">
    <cfRule type="cellIs" dxfId="647" priority="19" stopIfTrue="1" operator="greaterThanOrEqual">
      <formula>$C$53</formula>
    </cfRule>
    <cfRule type="cellIs" dxfId="646" priority="20" stopIfTrue="1" operator="between">
      <formula>$C$58</formula>
      <formula>$D$58</formula>
    </cfRule>
    <cfRule type="cellIs" dxfId="645" priority="21" stopIfTrue="1" operator="between">
      <formula>$C$57</formula>
      <formula>$D$57</formula>
    </cfRule>
    <cfRule type="cellIs" dxfId="644" priority="22" stopIfTrue="1" operator="between">
      <formula>$C$56</formula>
      <formula>$D$56</formula>
    </cfRule>
    <cfRule type="cellIs" dxfId="643" priority="23" stopIfTrue="1" operator="between">
      <formula>$C$55</formula>
      <formula>$D$55</formula>
    </cfRule>
    <cfRule type="cellIs" dxfId="642" priority="24" stopIfTrue="1" operator="between">
      <formula>$C$54</formula>
      <formula>$D$54</formula>
    </cfRule>
  </conditionalFormatting>
  <printOptions horizontalCentered="1"/>
  <pageMargins left="0.31496062992125984" right="0.19685039370078741" top="0.98425196850393704" bottom="0.35433070866141736" header="0.27559055118110237" footer="0.23622047244094491"/>
  <pageSetup scale="57" orientation="landscape" r:id="rId1"/>
  <headerFooter>
    <oddHeader>&amp;L                        &amp;G&amp;C&amp;"-,Negrita"Ministerio Salud y  Protección Social
República de Colombia
Dirección de Promoción y Prevención - Programa - PAI
Coberturas de Vacunación por Biologicos y  Departamento - Diciembre  de  2015</oddHeader>
    <oddFooter>&amp;C** &amp;F **&amp;R&amp;D - &amp;T        .</oddFooter>
  </headerFooter>
  <colBreaks count="1" manualBreakCount="1">
    <brk id="50" min="8" max="50" man="1"/>
  </colBreaks>
  <drawing r:id="rId2"/>
  <legacyDrawing r:id="rId3"/>
  <legacyDrawingHF r:id="rId4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CC"/>
  </sheetPr>
  <dimension ref="A1:BK74"/>
  <sheetViews>
    <sheetView zoomScale="90" zoomScaleNormal="90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"/>
    </sheetView>
  </sheetViews>
  <sheetFormatPr baseColWidth="10" defaultColWidth="11.42578125" defaultRowHeight="16.5" x14ac:dyDescent="0.3"/>
  <cols>
    <col min="1" max="1" width="5.5703125" style="1241" customWidth="1"/>
    <col min="2" max="2" width="17.7109375" style="1241" customWidth="1"/>
    <col min="3" max="3" width="14.42578125" style="1241" customWidth="1"/>
    <col min="4" max="4" width="9.85546875" style="1241" customWidth="1"/>
    <col min="5" max="5" width="7.42578125" style="1241" customWidth="1"/>
    <col min="6" max="6" width="9.5703125" style="1241" customWidth="1"/>
    <col min="7" max="7" width="7.7109375" style="1241" customWidth="1"/>
    <col min="8" max="8" width="9.5703125" style="1241" customWidth="1"/>
    <col min="9" max="9" width="8.42578125" style="1241" customWidth="1"/>
    <col min="10" max="10" width="7.7109375" style="1241" bestFit="1" customWidth="1"/>
    <col min="11" max="11" width="7.42578125" style="1241" customWidth="1"/>
    <col min="12" max="12" width="8.28515625" style="1241" bestFit="1" customWidth="1"/>
    <col min="13" max="13" width="8.140625" style="1241" customWidth="1"/>
    <col min="14" max="14" width="8.5703125" style="1241" bestFit="1" customWidth="1"/>
    <col min="15" max="15" width="7.42578125" style="1241" customWidth="1"/>
    <col min="16" max="16" width="8.28515625" style="1241" bestFit="1" customWidth="1"/>
    <col min="17" max="17" width="7.42578125" style="1241" customWidth="1"/>
    <col min="18" max="18" width="9" style="1241" customWidth="1"/>
    <col min="19" max="19" width="7.7109375" style="1241" customWidth="1"/>
    <col min="20" max="20" width="7.7109375" style="1241" bestFit="1" customWidth="1"/>
    <col min="21" max="21" width="8.140625" style="1241" customWidth="1"/>
    <col min="22" max="22" width="7.7109375" style="1241" bestFit="1" customWidth="1"/>
    <col min="23" max="23" width="8.85546875" style="1241" customWidth="1"/>
    <col min="24" max="24" width="7.42578125" style="1241" bestFit="1" customWidth="1"/>
    <col min="25" max="25" width="8.28515625" style="1241" customWidth="1"/>
    <col min="26" max="26" width="7.7109375" style="1241" bestFit="1" customWidth="1"/>
    <col min="27" max="27" width="8" style="1241" customWidth="1"/>
    <col min="28" max="28" width="7.7109375" style="1241" bestFit="1" customWidth="1"/>
    <col min="29" max="29" width="7.42578125" style="1241" customWidth="1"/>
    <col min="30" max="30" width="9.5703125" style="1241" customWidth="1"/>
    <col min="31" max="31" width="9" style="1241" customWidth="1"/>
    <col min="32" max="32" width="8.28515625" style="1241" customWidth="1"/>
    <col min="33" max="33" width="7.7109375" style="1241" bestFit="1" customWidth="1"/>
    <col min="34" max="34" width="7.85546875" style="1241" customWidth="1"/>
    <col min="35" max="35" width="8.5703125" style="1241" customWidth="1"/>
    <col min="36" max="36" width="9" style="1241" customWidth="1"/>
    <col min="37" max="37" width="8.85546875" style="1241" customWidth="1"/>
    <col min="38" max="38" width="7.5703125" style="1241" customWidth="1"/>
    <col min="39" max="39" width="7.28515625" style="1241" customWidth="1"/>
    <col min="40" max="40" width="6.7109375" style="1241" customWidth="1"/>
    <col min="41" max="41" width="7.28515625" style="1241" customWidth="1"/>
    <col min="42" max="43" width="8.42578125" style="1241" customWidth="1"/>
    <col min="44" max="44" width="7.42578125" style="1241" customWidth="1"/>
    <col min="45" max="45" width="8.42578125" style="1241" customWidth="1"/>
    <col min="46" max="46" width="7.28515625" style="1241" customWidth="1"/>
    <col min="47" max="47" width="9" style="1241" customWidth="1"/>
    <col min="48" max="48" width="7" style="1241" customWidth="1"/>
    <col min="49" max="49" width="10.7109375" style="1241" customWidth="1"/>
    <col min="50" max="50" width="8.7109375" style="1241" customWidth="1"/>
    <col min="51" max="51" width="7.28515625" style="1241" customWidth="1"/>
    <col min="52" max="52" width="8.140625" style="1241" customWidth="1"/>
    <col min="53" max="53" width="7.140625" style="1241" customWidth="1"/>
    <col min="54" max="54" width="10.140625" style="1241" customWidth="1"/>
    <col min="55" max="55" width="7" style="1241" customWidth="1"/>
    <col min="56" max="56" width="9.7109375" style="1241" customWidth="1"/>
    <col min="57" max="57" width="11.140625" style="1241" customWidth="1"/>
    <col min="58" max="58" width="10.140625" style="1241" customWidth="1"/>
    <col min="59" max="59" width="9.5703125" style="1241" customWidth="1"/>
    <col min="60" max="60" width="6.85546875" style="1241" customWidth="1"/>
    <col min="61" max="61" width="8.7109375" style="1241" bestFit="1" customWidth="1"/>
    <col min="62" max="62" width="13.28515625" style="1241" customWidth="1"/>
    <col min="63" max="16384" width="11.42578125" style="1241"/>
  </cols>
  <sheetData>
    <row r="1" spans="1:63" ht="12" customHeight="1" x14ac:dyDescent="0.3">
      <c r="B1" s="622"/>
      <c r="C1" s="622"/>
      <c r="D1" s="622"/>
      <c r="E1" s="622"/>
      <c r="F1" s="622"/>
      <c r="G1" s="622"/>
      <c r="H1" s="622"/>
      <c r="I1" s="622"/>
      <c r="J1" s="622"/>
      <c r="K1" s="622"/>
      <c r="L1" s="622"/>
      <c r="M1" s="622"/>
      <c r="N1" s="622"/>
      <c r="O1" s="622"/>
      <c r="P1" s="622"/>
      <c r="Q1" s="622"/>
      <c r="R1" s="622"/>
      <c r="S1" s="622"/>
      <c r="T1" s="622"/>
      <c r="U1" s="622"/>
      <c r="V1" s="622"/>
      <c r="W1" s="622"/>
      <c r="X1" s="622"/>
      <c r="Y1" s="622"/>
      <c r="Z1" s="622"/>
      <c r="AA1" s="622"/>
      <c r="AB1" s="622"/>
      <c r="AC1" s="622"/>
      <c r="AD1" s="622"/>
      <c r="AE1" s="622"/>
      <c r="AF1" s="622"/>
      <c r="AG1" s="622"/>
      <c r="AH1" s="622"/>
      <c r="AI1" s="622"/>
      <c r="AJ1" s="622"/>
      <c r="AK1" s="622"/>
      <c r="AL1" s="622"/>
      <c r="AM1" s="622"/>
      <c r="AN1" s="622"/>
      <c r="AO1" s="622"/>
      <c r="AP1" s="622"/>
      <c r="AQ1" s="622"/>
      <c r="AR1" s="622"/>
      <c r="AS1" s="622"/>
      <c r="AT1" s="622"/>
      <c r="AU1" s="622"/>
      <c r="AV1" s="622"/>
      <c r="AW1" s="622"/>
      <c r="AX1" s="622"/>
      <c r="AY1" s="622"/>
      <c r="AZ1" s="622"/>
      <c r="BA1" s="622"/>
      <c r="BB1" s="622"/>
      <c r="BC1" s="622"/>
      <c r="BD1" s="622"/>
      <c r="BE1" s="622"/>
      <c r="BF1" s="622"/>
      <c r="BG1" s="622"/>
      <c r="BH1" s="622"/>
      <c r="BI1" s="622"/>
      <c r="BJ1" s="622"/>
      <c r="BK1" s="622"/>
    </row>
    <row r="2" spans="1:63" ht="12" customHeight="1" x14ac:dyDescent="0.3">
      <c r="B2" s="622"/>
      <c r="C2" s="622"/>
      <c r="D2" s="622"/>
      <c r="E2" s="622"/>
      <c r="F2" s="622"/>
      <c r="G2" s="622"/>
      <c r="H2" s="622"/>
      <c r="I2" s="622"/>
      <c r="J2" s="622"/>
      <c r="K2" s="622"/>
      <c r="L2" s="622"/>
      <c r="M2" s="622"/>
      <c r="N2" s="622"/>
      <c r="O2" s="622"/>
      <c r="P2" s="622"/>
      <c r="Q2" s="622"/>
      <c r="R2" s="622"/>
      <c r="S2" s="622"/>
      <c r="T2" s="622"/>
      <c r="U2" s="622"/>
      <c r="V2" s="622"/>
      <c r="W2" s="622"/>
      <c r="X2" s="622"/>
      <c r="Y2" s="622"/>
      <c r="Z2" s="622"/>
      <c r="AA2" s="622"/>
      <c r="AB2" s="622"/>
      <c r="AC2" s="622"/>
      <c r="AD2" s="622"/>
      <c r="AE2" s="622"/>
      <c r="AF2" s="622"/>
      <c r="AG2" s="622"/>
      <c r="AH2" s="622"/>
      <c r="AI2" s="622"/>
      <c r="AJ2" s="622"/>
      <c r="AK2" s="622"/>
      <c r="AL2" s="622"/>
      <c r="AM2" s="622"/>
      <c r="AN2" s="622"/>
      <c r="AO2" s="622"/>
      <c r="AP2" s="622"/>
      <c r="AQ2" s="622"/>
      <c r="AR2" s="622"/>
      <c r="AS2" s="622"/>
      <c r="AT2" s="622"/>
      <c r="AU2" s="622"/>
      <c r="AV2" s="622"/>
      <c r="AW2" s="622"/>
      <c r="AX2" s="622"/>
      <c r="AY2" s="622"/>
      <c r="AZ2" s="622"/>
      <c r="BA2" s="622"/>
      <c r="BB2" s="622"/>
      <c r="BC2" s="622"/>
      <c r="BD2" s="622"/>
      <c r="BE2" s="622"/>
      <c r="BF2" s="622"/>
      <c r="BG2" s="622"/>
      <c r="BH2" s="622"/>
      <c r="BI2" s="622"/>
      <c r="BJ2" s="622"/>
      <c r="BK2" s="622"/>
    </row>
    <row r="3" spans="1:63" ht="12" customHeight="1" x14ac:dyDescent="0.3">
      <c r="B3" s="622"/>
      <c r="C3" s="622"/>
      <c r="D3" s="622"/>
      <c r="E3" s="622"/>
      <c r="F3" s="622"/>
      <c r="G3" s="622"/>
      <c r="H3" s="622"/>
      <c r="I3" s="622"/>
      <c r="J3" s="622"/>
      <c r="K3" s="622"/>
      <c r="L3" s="622"/>
      <c r="M3" s="622"/>
      <c r="N3" s="622"/>
      <c r="O3" s="622"/>
      <c r="P3" s="622"/>
      <c r="Q3" s="622"/>
      <c r="R3" s="622"/>
      <c r="S3" s="622"/>
      <c r="T3" s="622"/>
      <c r="U3" s="622"/>
      <c r="V3" s="622"/>
      <c r="W3" s="622"/>
      <c r="X3" s="622"/>
      <c r="Y3" s="622"/>
      <c r="Z3" s="622"/>
      <c r="AA3" s="622"/>
      <c r="AB3" s="622"/>
      <c r="AC3" s="622"/>
      <c r="AD3" s="622"/>
      <c r="AE3" s="622"/>
      <c r="AF3" s="622"/>
      <c r="AG3" s="622"/>
      <c r="AH3" s="622"/>
      <c r="AI3" s="622"/>
      <c r="AJ3" s="622"/>
      <c r="AK3" s="622"/>
      <c r="AL3" s="622"/>
      <c r="AM3" s="622"/>
      <c r="AN3" s="622"/>
      <c r="AO3" s="622"/>
      <c r="AP3" s="622"/>
      <c r="AQ3" s="622"/>
      <c r="AR3" s="622"/>
      <c r="AS3" s="622"/>
      <c r="AT3" s="622"/>
      <c r="AU3" s="622"/>
      <c r="AV3" s="622"/>
      <c r="AW3" s="622"/>
      <c r="AX3" s="622"/>
      <c r="AY3" s="622"/>
      <c r="AZ3" s="622"/>
      <c r="BA3" s="622"/>
      <c r="BB3" s="622"/>
      <c r="BC3" s="622"/>
      <c r="BD3" s="622"/>
      <c r="BE3" s="622"/>
      <c r="BF3" s="622"/>
      <c r="BG3" s="622"/>
      <c r="BH3" s="622"/>
      <c r="BI3" s="622"/>
      <c r="BJ3" s="622"/>
      <c r="BK3" s="622"/>
    </row>
    <row r="4" spans="1:63" ht="12" customHeight="1" x14ac:dyDescent="0.3">
      <c r="B4" s="622"/>
      <c r="C4" s="622"/>
      <c r="D4" s="622"/>
      <c r="E4" s="622"/>
      <c r="F4" s="622"/>
      <c r="G4" s="622"/>
      <c r="H4" s="622"/>
      <c r="I4" s="622"/>
      <c r="J4" s="622"/>
      <c r="K4" s="622"/>
      <c r="L4" s="622"/>
      <c r="M4" s="622"/>
      <c r="N4" s="622"/>
      <c r="O4" s="622"/>
      <c r="P4" s="622"/>
      <c r="Q4" s="622"/>
      <c r="R4" s="622"/>
      <c r="S4" s="622"/>
      <c r="T4" s="622"/>
      <c r="U4" s="622"/>
      <c r="V4" s="622"/>
      <c r="W4" s="622"/>
      <c r="X4" s="622"/>
      <c r="Y4" s="622"/>
      <c r="Z4" s="622"/>
      <c r="AA4" s="622"/>
      <c r="AB4" s="622"/>
      <c r="AC4" s="622"/>
      <c r="AD4" s="622"/>
      <c r="AE4" s="622"/>
      <c r="AF4" s="622"/>
      <c r="AG4" s="622"/>
      <c r="AH4" s="622"/>
      <c r="AI4" s="622"/>
      <c r="AJ4" s="622"/>
      <c r="AK4" s="622"/>
      <c r="AL4" s="622"/>
      <c r="AM4" s="622"/>
      <c r="AN4" s="622"/>
      <c r="AO4" s="622"/>
      <c r="AP4" s="622"/>
      <c r="AQ4" s="622"/>
      <c r="AR4" s="622"/>
      <c r="AS4" s="622"/>
      <c r="AT4" s="622"/>
      <c r="AU4" s="622"/>
      <c r="AV4" s="622"/>
      <c r="AW4" s="622"/>
      <c r="AX4" s="622"/>
      <c r="AY4" s="622"/>
      <c r="AZ4" s="622"/>
      <c r="BA4" s="622"/>
      <c r="BB4" s="622"/>
      <c r="BC4" s="622"/>
      <c r="BD4" s="622"/>
      <c r="BE4" s="622"/>
      <c r="BF4" s="622"/>
      <c r="BG4" s="622"/>
      <c r="BH4" s="622"/>
      <c r="BI4" s="622"/>
      <c r="BJ4" s="622"/>
      <c r="BK4" s="622"/>
    </row>
    <row r="5" spans="1:63" x14ac:dyDescent="0.3">
      <c r="B5" s="702" t="s">
        <v>305</v>
      </c>
      <c r="C5" s="703"/>
      <c r="D5" s="704" t="s">
        <v>461</v>
      </c>
      <c r="E5" s="703"/>
      <c r="F5" s="703"/>
      <c r="G5" s="703"/>
      <c r="H5" s="703"/>
      <c r="I5" s="703"/>
      <c r="J5" s="703"/>
      <c r="K5" s="703"/>
      <c r="L5" s="703"/>
      <c r="M5" s="703"/>
      <c r="N5" s="703"/>
      <c r="O5" s="703"/>
      <c r="P5" s="703"/>
      <c r="Q5" s="703"/>
      <c r="R5" s="703"/>
      <c r="S5" s="703"/>
      <c r="T5" s="703"/>
      <c r="U5" s="703"/>
      <c r="V5" s="703"/>
      <c r="W5" s="703"/>
      <c r="X5" s="703"/>
      <c r="Y5" s="703"/>
      <c r="Z5" s="703"/>
      <c r="AA5" s="703"/>
      <c r="AB5" s="703"/>
      <c r="AC5" s="703"/>
      <c r="AD5" s="703"/>
      <c r="AE5" s="703"/>
      <c r="AF5" s="703"/>
      <c r="AG5" s="703"/>
      <c r="AH5" s="703"/>
      <c r="AI5" s="703"/>
      <c r="AJ5" s="703"/>
      <c r="AK5" s="703"/>
      <c r="AL5" s="703"/>
      <c r="AM5" s="703"/>
      <c r="AN5" s="703"/>
      <c r="AO5" s="703"/>
      <c r="AP5" s="703"/>
      <c r="AQ5" s="703"/>
      <c r="AR5" s="703"/>
      <c r="AS5" s="703"/>
      <c r="AT5" s="703"/>
      <c r="AU5" s="703"/>
      <c r="AV5" s="703"/>
      <c r="AW5" s="703"/>
      <c r="AX5" s="703"/>
      <c r="AY5" s="703"/>
      <c r="AZ5" s="703"/>
      <c r="BA5" s="703"/>
      <c r="BB5" s="703"/>
      <c r="BC5" s="703"/>
      <c r="BD5" s="703"/>
      <c r="BE5" s="703"/>
      <c r="BF5" s="703"/>
      <c r="BG5" s="703"/>
      <c r="BH5" s="703"/>
      <c r="BI5" s="703"/>
      <c r="BJ5" s="703"/>
      <c r="BK5" s="703"/>
    </row>
    <row r="6" spans="1:63" x14ac:dyDescent="0.3">
      <c r="B6" s="702" t="s">
        <v>306</v>
      </c>
      <c r="C6" s="703"/>
      <c r="D6" s="705">
        <v>42791</v>
      </c>
      <c r="E6" s="703"/>
      <c r="F6" s="703"/>
      <c r="G6" s="703"/>
      <c r="H6" s="703"/>
      <c r="I6" s="703"/>
      <c r="J6" s="703"/>
      <c r="K6" s="703"/>
      <c r="L6" s="703"/>
      <c r="M6" s="703"/>
      <c r="N6" s="703"/>
      <c r="O6" s="703"/>
      <c r="P6" s="703"/>
      <c r="Q6" s="703"/>
      <c r="R6" s="703"/>
      <c r="S6" s="703"/>
      <c r="T6" s="703"/>
      <c r="U6" s="703"/>
      <c r="V6" s="703"/>
      <c r="W6" s="703"/>
      <c r="X6" s="703"/>
      <c r="Y6" s="703"/>
      <c r="Z6" s="703"/>
      <c r="AA6" s="703"/>
      <c r="AB6" s="703"/>
      <c r="AC6" s="703"/>
      <c r="AD6" s="703"/>
      <c r="AE6" s="703"/>
      <c r="AF6" s="703"/>
      <c r="AG6" s="703"/>
      <c r="AH6" s="703"/>
      <c r="AI6" s="703"/>
      <c r="AJ6" s="703"/>
      <c r="AK6" s="703"/>
      <c r="AL6" s="703"/>
      <c r="AM6" s="703"/>
      <c r="AN6" s="703"/>
      <c r="AO6" s="703"/>
      <c r="AP6" s="703"/>
      <c r="AQ6" s="703"/>
      <c r="AR6" s="703"/>
      <c r="AS6" s="703"/>
      <c r="AT6" s="703"/>
      <c r="AU6" s="703"/>
      <c r="AV6" s="703"/>
      <c r="AW6" s="703"/>
      <c r="AX6" s="703"/>
      <c r="AY6" s="703"/>
      <c r="AZ6" s="703"/>
      <c r="BA6" s="703"/>
      <c r="BB6" s="703"/>
      <c r="BC6" s="703"/>
      <c r="BD6" s="703"/>
      <c r="BE6" s="703"/>
      <c r="BF6" s="703"/>
      <c r="BG6" s="703"/>
      <c r="BH6" s="703"/>
      <c r="BI6" s="703"/>
      <c r="BJ6" s="703"/>
      <c r="BK6" s="703"/>
    </row>
    <row r="7" spans="1:63" x14ac:dyDescent="0.3">
      <c r="B7" s="702" t="s">
        <v>307</v>
      </c>
      <c r="C7" s="703"/>
      <c r="D7" s="657" t="s">
        <v>309</v>
      </c>
      <c r="E7" s="703"/>
      <c r="F7" s="703"/>
      <c r="G7" s="703"/>
      <c r="H7" s="703"/>
      <c r="I7" s="703"/>
      <c r="J7" s="703"/>
      <c r="K7" s="703"/>
      <c r="L7" s="703"/>
      <c r="M7" s="703"/>
      <c r="N7" s="703"/>
      <c r="O7" s="703"/>
      <c r="P7" s="703"/>
      <c r="Q7" s="703"/>
      <c r="R7" s="703"/>
      <c r="S7" s="703"/>
      <c r="T7" s="703"/>
      <c r="U7" s="703"/>
      <c r="V7" s="703"/>
      <c r="W7" s="703"/>
      <c r="X7" s="703"/>
      <c r="Y7" s="703"/>
      <c r="Z7" s="703"/>
      <c r="AA7" s="703"/>
      <c r="AB7" s="703"/>
      <c r="AC7" s="703"/>
      <c r="AD7" s="703"/>
      <c r="AE7" s="703"/>
      <c r="AF7" s="703"/>
      <c r="AG7" s="703"/>
      <c r="AH7" s="703"/>
      <c r="AI7" s="703"/>
      <c r="AJ7" s="703"/>
      <c r="AK7" s="703"/>
      <c r="AL7" s="703"/>
      <c r="AM7" s="703"/>
      <c r="AN7" s="703"/>
      <c r="AO7" s="703"/>
      <c r="AP7" s="703"/>
      <c r="AQ7" s="703"/>
      <c r="AR7" s="703"/>
      <c r="AS7" s="703"/>
      <c r="AT7" s="703"/>
      <c r="AU7" s="703"/>
      <c r="AV7" s="703"/>
      <c r="AW7" s="703"/>
      <c r="AX7" s="703"/>
      <c r="AY7" s="703"/>
      <c r="AZ7" s="703"/>
      <c r="BA7" s="703"/>
      <c r="BB7" s="703"/>
      <c r="BC7" s="703"/>
      <c r="BD7" s="703"/>
      <c r="BE7" s="703"/>
      <c r="BF7" s="703"/>
      <c r="BG7" s="703"/>
      <c r="BH7" s="703"/>
      <c r="BI7" s="703"/>
      <c r="BJ7" s="703"/>
      <c r="BK7" s="703"/>
    </row>
    <row r="8" spans="1:63" ht="6.75" customHeight="1" thickBot="1" x14ac:dyDescent="0.35">
      <c r="B8" s="703"/>
      <c r="C8" s="703"/>
      <c r="D8" s="703"/>
      <c r="E8" s="703"/>
      <c r="F8" s="703"/>
      <c r="G8" s="703"/>
      <c r="H8" s="703"/>
      <c r="I8" s="703"/>
      <c r="J8" s="703"/>
      <c r="K8" s="703"/>
      <c r="L8" s="703"/>
      <c r="M8" s="703"/>
      <c r="N8" s="703"/>
      <c r="O8" s="703"/>
      <c r="P8" s="703"/>
      <c r="Q8" s="703"/>
      <c r="R8" s="703"/>
      <c r="S8" s="703"/>
      <c r="T8" s="703"/>
      <c r="U8" s="703"/>
      <c r="V8" s="703"/>
      <c r="W8" s="703"/>
      <c r="X8" s="703"/>
      <c r="Y8" s="703"/>
      <c r="Z8" s="703"/>
      <c r="AA8" s="703"/>
      <c r="AB8" s="703"/>
      <c r="AC8" s="703"/>
      <c r="AD8" s="703"/>
      <c r="AE8" s="703"/>
      <c r="AF8" s="703"/>
      <c r="AG8" s="703"/>
      <c r="AH8" s="703"/>
      <c r="AI8" s="703"/>
      <c r="AJ8" s="703"/>
      <c r="AK8" s="703"/>
      <c r="AL8" s="703"/>
      <c r="AM8" s="703"/>
      <c r="AN8" s="703"/>
      <c r="AO8" s="703"/>
      <c r="AP8" s="703"/>
      <c r="AQ8" s="703"/>
      <c r="AR8" s="703"/>
      <c r="AS8" s="703"/>
      <c r="AT8" s="703"/>
      <c r="AU8" s="703"/>
      <c r="AV8" s="703"/>
      <c r="AW8" s="703"/>
      <c r="AX8" s="703"/>
      <c r="AY8" s="703"/>
      <c r="AZ8" s="703"/>
      <c r="BA8" s="703"/>
      <c r="BB8" s="703"/>
      <c r="BC8" s="703"/>
      <c r="BD8" s="703"/>
      <c r="BE8" s="703"/>
      <c r="BF8" s="703"/>
      <c r="BG8" s="703"/>
      <c r="BH8" s="703"/>
      <c r="BI8" s="703"/>
      <c r="BJ8" s="703"/>
      <c r="BK8" s="703"/>
    </row>
    <row r="9" spans="1:63" s="1139" customFormat="1" ht="49.5" customHeight="1" thickBot="1" x14ac:dyDescent="0.2">
      <c r="B9" s="1140" t="s">
        <v>210</v>
      </c>
      <c r="C9" s="1141" t="s">
        <v>412</v>
      </c>
      <c r="D9" s="1930" t="s">
        <v>413</v>
      </c>
      <c r="E9" s="1930"/>
      <c r="F9" s="1931" t="s">
        <v>414</v>
      </c>
      <c r="G9" s="1931"/>
      <c r="H9" s="1932" t="s">
        <v>415</v>
      </c>
      <c r="I9" s="1932"/>
      <c r="J9" s="1933" t="s">
        <v>416</v>
      </c>
      <c r="K9" s="1933"/>
      <c r="L9" s="1924" t="s">
        <v>417</v>
      </c>
      <c r="M9" s="1924"/>
      <c r="N9" s="1924" t="s">
        <v>417</v>
      </c>
      <c r="O9" s="1924"/>
      <c r="P9" s="1924" t="s">
        <v>417</v>
      </c>
      <c r="Q9" s="1924"/>
      <c r="R9" s="1925" t="s">
        <v>418</v>
      </c>
      <c r="S9" s="1925"/>
      <c r="T9" s="1925" t="s">
        <v>419</v>
      </c>
      <c r="U9" s="1925"/>
      <c r="V9" s="1926" t="s">
        <v>420</v>
      </c>
      <c r="W9" s="1926"/>
      <c r="X9" s="1926" t="s">
        <v>420</v>
      </c>
      <c r="Y9" s="1926"/>
      <c r="Z9" s="1923" t="s">
        <v>421</v>
      </c>
      <c r="AA9" s="1923"/>
      <c r="AB9" s="1923" t="s">
        <v>421</v>
      </c>
      <c r="AC9" s="1923"/>
      <c r="AD9" s="1142" t="s">
        <v>422</v>
      </c>
      <c r="AE9" s="1922" t="s">
        <v>423</v>
      </c>
      <c r="AF9" s="1922"/>
      <c r="AG9" s="1927" t="s">
        <v>424</v>
      </c>
      <c r="AH9" s="1928"/>
      <c r="AI9" s="1929" t="s">
        <v>425</v>
      </c>
      <c r="AJ9" s="1929"/>
      <c r="AK9" s="1923" t="s">
        <v>426</v>
      </c>
      <c r="AL9" s="1923"/>
      <c r="AM9" s="1923" t="s">
        <v>427</v>
      </c>
      <c r="AN9" s="1923"/>
      <c r="AO9" s="1303" t="s">
        <v>427</v>
      </c>
      <c r="AP9" s="1303" t="s">
        <v>428</v>
      </c>
      <c r="AQ9" s="1919" t="s">
        <v>429</v>
      </c>
      <c r="AR9" s="1919"/>
      <c r="AS9" s="1920" t="s">
        <v>430</v>
      </c>
      <c r="AT9" s="1920"/>
      <c r="AU9" s="1921" t="s">
        <v>431</v>
      </c>
      <c r="AV9" s="1921"/>
      <c r="AW9" s="1143" t="s">
        <v>432</v>
      </c>
      <c r="AX9" s="1920" t="s">
        <v>433</v>
      </c>
      <c r="AY9" s="1920"/>
      <c r="AZ9" s="1921" t="s">
        <v>434</v>
      </c>
      <c r="BA9" s="1921"/>
      <c r="BB9" s="1922" t="s">
        <v>435</v>
      </c>
      <c r="BC9" s="1922"/>
      <c r="BD9" s="1304" t="s">
        <v>436</v>
      </c>
      <c r="BE9" s="1144" t="s">
        <v>437</v>
      </c>
      <c r="BF9" s="1145" t="s">
        <v>438</v>
      </c>
      <c r="BG9" s="1917" t="s">
        <v>439</v>
      </c>
      <c r="BH9" s="1918"/>
      <c r="BJ9" s="1146" t="s">
        <v>440</v>
      </c>
    </row>
    <row r="10" spans="1:63" s="1147" customFormat="1" ht="22.5" customHeight="1" thickBot="1" x14ac:dyDescent="0.3">
      <c r="B10" s="1305" t="s">
        <v>210</v>
      </c>
      <c r="C10" s="1148" t="s">
        <v>441</v>
      </c>
      <c r="D10" s="1149" t="s">
        <v>442</v>
      </c>
      <c r="E10" s="1150" t="s">
        <v>5</v>
      </c>
      <c r="F10" s="1151" t="s">
        <v>443</v>
      </c>
      <c r="G10" s="1150" t="s">
        <v>5</v>
      </c>
      <c r="H10" s="1152" t="s">
        <v>444</v>
      </c>
      <c r="I10" s="1150" t="s">
        <v>5</v>
      </c>
      <c r="J10" s="1153" t="s">
        <v>83</v>
      </c>
      <c r="K10" s="1150" t="s">
        <v>5</v>
      </c>
      <c r="L10" s="1154" t="s">
        <v>444</v>
      </c>
      <c r="M10" s="1150" t="s">
        <v>5</v>
      </c>
      <c r="N10" s="1154" t="s">
        <v>445</v>
      </c>
      <c r="O10" s="1150" t="s">
        <v>5</v>
      </c>
      <c r="P10" s="1154" t="s">
        <v>446</v>
      </c>
      <c r="Q10" s="1150" t="s">
        <v>5</v>
      </c>
      <c r="R10" s="1155" t="s">
        <v>447</v>
      </c>
      <c r="S10" s="1150" t="s">
        <v>5</v>
      </c>
      <c r="T10" s="1155" t="s">
        <v>448</v>
      </c>
      <c r="U10" s="1150" t="s">
        <v>5</v>
      </c>
      <c r="V10" s="1156" t="s">
        <v>447</v>
      </c>
      <c r="W10" s="1150" t="s">
        <v>5</v>
      </c>
      <c r="X10" s="1156" t="s">
        <v>448</v>
      </c>
      <c r="Y10" s="1150" t="s">
        <v>5</v>
      </c>
      <c r="Z10" s="1157" t="s">
        <v>447</v>
      </c>
      <c r="AA10" s="1150" t="s">
        <v>5</v>
      </c>
      <c r="AB10" s="1157" t="s">
        <v>448</v>
      </c>
      <c r="AC10" s="1150" t="s">
        <v>5</v>
      </c>
      <c r="AD10" s="1158" t="s">
        <v>449</v>
      </c>
      <c r="AE10" s="1159" t="s">
        <v>91</v>
      </c>
      <c r="AF10" s="1150" t="s">
        <v>5</v>
      </c>
      <c r="AG10" s="1160" t="s">
        <v>91</v>
      </c>
      <c r="AH10" s="1150" t="s">
        <v>5</v>
      </c>
      <c r="AI10" s="1161" t="s">
        <v>91</v>
      </c>
      <c r="AJ10" s="1150" t="s">
        <v>5</v>
      </c>
      <c r="AK10" s="1157" t="s">
        <v>450</v>
      </c>
      <c r="AL10" s="1150" t="s">
        <v>5</v>
      </c>
      <c r="AM10" s="1157" t="s">
        <v>447</v>
      </c>
      <c r="AN10" s="1150" t="s">
        <v>5</v>
      </c>
      <c r="AO10" s="1157" t="s">
        <v>448</v>
      </c>
      <c r="AP10" s="1157" t="s">
        <v>442</v>
      </c>
      <c r="AQ10" s="1162" t="s">
        <v>75</v>
      </c>
      <c r="AR10" s="1162" t="s">
        <v>5</v>
      </c>
      <c r="AS10" s="1163" t="s">
        <v>451</v>
      </c>
      <c r="AT10" s="1164" t="s">
        <v>5</v>
      </c>
      <c r="AU10" s="1165" t="s">
        <v>451</v>
      </c>
      <c r="AV10" s="1164" t="s">
        <v>5</v>
      </c>
      <c r="AW10" s="1166" t="s">
        <v>441</v>
      </c>
      <c r="AX10" s="1163" t="s">
        <v>452</v>
      </c>
      <c r="AY10" s="1164" t="s">
        <v>5</v>
      </c>
      <c r="AZ10" s="1165" t="s">
        <v>452</v>
      </c>
      <c r="BA10" s="1164" t="s">
        <v>5</v>
      </c>
      <c r="BB10" s="1167" t="s">
        <v>453</v>
      </c>
      <c r="BC10" s="1164" t="s">
        <v>5</v>
      </c>
      <c r="BD10" s="1168" t="s">
        <v>454</v>
      </c>
      <c r="BE10" s="1168" t="s">
        <v>454</v>
      </c>
      <c r="BF10" s="1168" t="s">
        <v>454</v>
      </c>
      <c r="BG10" s="1169" t="s">
        <v>455</v>
      </c>
      <c r="BH10" s="1306" t="s">
        <v>5</v>
      </c>
      <c r="BI10" s="1147" t="s">
        <v>343</v>
      </c>
    </row>
    <row r="11" spans="1:63" s="1190" customFormat="1" ht="17.100000000000001" customHeight="1" x14ac:dyDescent="0.25">
      <c r="A11" s="1170">
        <v>91</v>
      </c>
      <c r="B11" s="1171" t="s">
        <v>12</v>
      </c>
      <c r="C11" s="1172">
        <v>1802</v>
      </c>
      <c r="D11" s="1173">
        <v>1503</v>
      </c>
      <c r="E11" s="1174">
        <f t="shared" ref="E11:E48" si="0">ROUND(D11/$C11*100,1)</f>
        <v>83.4</v>
      </c>
      <c r="F11" s="1175">
        <v>1368</v>
      </c>
      <c r="G11" s="1174">
        <f t="shared" ref="G11:G48" si="1">ROUND(F11/$C11*100,1)</f>
        <v>75.900000000000006</v>
      </c>
      <c r="H11" s="1176">
        <v>1560</v>
      </c>
      <c r="I11" s="1174">
        <f t="shared" ref="I11:K48" si="2">ROUND(H11/$C11*100,1)</f>
        <v>86.6</v>
      </c>
      <c r="J11" s="1176">
        <v>1445</v>
      </c>
      <c r="K11" s="1174">
        <f t="shared" si="2"/>
        <v>80.2</v>
      </c>
      <c r="L11" s="1176">
        <v>1557</v>
      </c>
      <c r="M11" s="1174">
        <f t="shared" ref="M11:M48" si="3">ROUND(L11/$C11*100,1)</f>
        <v>86.4</v>
      </c>
      <c r="N11" s="1176">
        <v>1513</v>
      </c>
      <c r="O11" s="1174">
        <f t="shared" ref="O11:O48" si="4">ROUND(N11/$C11*100,1)</f>
        <v>84</v>
      </c>
      <c r="P11" s="1176">
        <v>1444</v>
      </c>
      <c r="Q11" s="1174">
        <f t="shared" ref="Q11:Q48" si="5">ROUND(P11/$C11*100,1)</f>
        <v>80.099999999999994</v>
      </c>
      <c r="R11" s="1176">
        <v>1424</v>
      </c>
      <c r="S11" s="1174">
        <f t="shared" ref="S11:S48" si="6">ROUND(R11/C11*100,1)</f>
        <v>79</v>
      </c>
      <c r="T11" s="1176">
        <v>1448</v>
      </c>
      <c r="U11" s="1174">
        <f t="shared" ref="U11:U48" si="7">ROUND(T11/$C11*100,1)</f>
        <v>80.400000000000006</v>
      </c>
      <c r="V11" s="1175">
        <v>1419</v>
      </c>
      <c r="W11" s="1174">
        <f>ROUND(V11/($C11/12*9)*100,1)</f>
        <v>105</v>
      </c>
      <c r="X11" s="1177">
        <v>1070</v>
      </c>
      <c r="Y11" s="1174">
        <f>ROUND(X11/($C11/12*9)*100,1)</f>
        <v>79.2</v>
      </c>
      <c r="Z11" s="1176">
        <v>1545</v>
      </c>
      <c r="AA11" s="1174">
        <f t="shared" ref="AA11:AA48" si="8">ROUND(Z11/$C11*100,1)</f>
        <v>85.7</v>
      </c>
      <c r="AB11" s="1176">
        <v>1503</v>
      </c>
      <c r="AC11" s="1178">
        <f t="shared" ref="AC11:AC48" si="9">ROUND(AB11/$C11*100,1)</f>
        <v>83.4</v>
      </c>
      <c r="AD11" s="1179">
        <v>1845</v>
      </c>
      <c r="AE11" s="1173">
        <v>1575</v>
      </c>
      <c r="AF11" s="1174">
        <f t="shared" ref="AF11:AH48" si="10">ROUND(AE11/$AD11*100,1)</f>
        <v>85.4</v>
      </c>
      <c r="AG11" s="1180">
        <v>1563</v>
      </c>
      <c r="AH11" s="1181">
        <f>ROUND(AG11/$AD11*100,1)</f>
        <v>84.7</v>
      </c>
      <c r="AI11" s="1182">
        <v>1869</v>
      </c>
      <c r="AJ11" s="1174">
        <f t="shared" ref="AJ11:AJ48" si="11">ROUND(AI11/$AD11*100,1)</f>
        <v>101.3</v>
      </c>
      <c r="AK11" s="1176">
        <v>1547</v>
      </c>
      <c r="AL11" s="1174">
        <f t="shared" ref="AL11:AL48" si="12">ROUND(AK11/$AD11*100,1)</f>
        <v>83.8</v>
      </c>
      <c r="AM11" s="1183">
        <v>8</v>
      </c>
      <c r="AN11" s="1174">
        <v>0.43360433604336046</v>
      </c>
      <c r="AO11" s="1183">
        <v>26</v>
      </c>
      <c r="AP11" s="1183">
        <v>47</v>
      </c>
      <c r="AQ11" s="1176">
        <v>1582</v>
      </c>
      <c r="AR11" s="1174">
        <f>ROUND(AQ11/$AD11*100,1)</f>
        <v>85.7</v>
      </c>
      <c r="AS11" s="1176">
        <v>1517</v>
      </c>
      <c r="AT11" s="1174">
        <f t="shared" ref="AT11:AT48" si="13">ROUND(AS11/$AD11*100,1)</f>
        <v>82.2</v>
      </c>
      <c r="AU11" s="1176">
        <v>1517</v>
      </c>
      <c r="AV11" s="1178">
        <f t="shared" ref="AV11:AV48" si="14">ROUND(AU11/$AD11*100,1)</f>
        <v>82.2</v>
      </c>
      <c r="AW11" s="1184">
        <v>1831</v>
      </c>
      <c r="AX11" s="1176">
        <v>1478</v>
      </c>
      <c r="AY11" s="1185">
        <f t="shared" ref="AY11:AY48" si="15">ROUND(AX11/$AW11*100,1)</f>
        <v>80.7</v>
      </c>
      <c r="AZ11" s="1176">
        <v>1478</v>
      </c>
      <c r="BA11" s="1185">
        <f t="shared" ref="BA11:BA48" si="16">ROUND(AZ11/$AW11*100,1)</f>
        <v>80.7</v>
      </c>
      <c r="BB11" s="1176">
        <v>1468</v>
      </c>
      <c r="BC11" s="1186">
        <f t="shared" ref="BC11:BC48" si="17">ROUND(BB11/$AW11*100,1)</f>
        <v>80.2</v>
      </c>
      <c r="BD11" s="1187">
        <v>1441</v>
      </c>
      <c r="BE11" s="1176">
        <v>2178</v>
      </c>
      <c r="BF11" s="1188">
        <v>847</v>
      </c>
      <c r="BG11" s="1187">
        <v>1077</v>
      </c>
      <c r="BH11" s="1189">
        <f>ROUND(BG11/C11*100,1)</f>
        <v>59.8</v>
      </c>
      <c r="BI11" s="1190" t="s">
        <v>344</v>
      </c>
      <c r="BJ11" s="1191">
        <f>SUM(D11+F11+H11+J11+L11+N11+P11+R11+T11+V11+X11+Z11+AB11+AE11+AG11+AI11+AK11+AM11+AO11+AP11+AQ11+AS11+AU11+AX11+AZ11+BB11+BD11+BE11+BF11)</f>
        <v>38940</v>
      </c>
    </row>
    <row r="12" spans="1:63" s="1190" customFormat="1" ht="17.100000000000001" customHeight="1" x14ac:dyDescent="0.25">
      <c r="A12" s="1170" t="s">
        <v>141</v>
      </c>
      <c r="B12" s="1192" t="s">
        <v>11</v>
      </c>
      <c r="C12" s="1193">
        <v>78411</v>
      </c>
      <c r="D12" s="1194">
        <v>75215</v>
      </c>
      <c r="E12" s="1195">
        <f t="shared" si="0"/>
        <v>95.9</v>
      </c>
      <c r="F12" s="1196">
        <v>74126</v>
      </c>
      <c r="G12" s="1195">
        <f t="shared" si="1"/>
        <v>94.5</v>
      </c>
      <c r="H12" s="1197">
        <v>75821</v>
      </c>
      <c r="I12" s="1195">
        <f t="shared" si="2"/>
        <v>96.7</v>
      </c>
      <c r="J12" s="1197">
        <v>73969</v>
      </c>
      <c r="K12" s="1195">
        <f t="shared" si="2"/>
        <v>94.3</v>
      </c>
      <c r="L12" s="1197">
        <v>75935</v>
      </c>
      <c r="M12" s="1195">
        <f t="shared" si="3"/>
        <v>96.8</v>
      </c>
      <c r="N12" s="1197">
        <v>75375</v>
      </c>
      <c r="O12" s="1195">
        <f t="shared" si="4"/>
        <v>96.1</v>
      </c>
      <c r="P12" s="1197">
        <v>74329</v>
      </c>
      <c r="Q12" s="1195">
        <f t="shared" si="5"/>
        <v>94.8</v>
      </c>
      <c r="R12" s="1197">
        <v>74104</v>
      </c>
      <c r="S12" s="1195">
        <f t="shared" si="6"/>
        <v>94.5</v>
      </c>
      <c r="T12" s="1197">
        <v>73897</v>
      </c>
      <c r="U12" s="1195">
        <f t="shared" si="7"/>
        <v>94.2</v>
      </c>
      <c r="V12" s="1196">
        <v>56768</v>
      </c>
      <c r="W12" s="1195">
        <f>ROUND(V12/($C12/12*9)*100,1)</f>
        <v>96.5</v>
      </c>
      <c r="X12" s="1191">
        <v>42336</v>
      </c>
      <c r="Y12" s="1195">
        <f>ROUND(X12/($C12/12*9)*100,1)</f>
        <v>72</v>
      </c>
      <c r="Z12" s="1197">
        <v>73013</v>
      </c>
      <c r="AA12" s="1195">
        <f t="shared" si="8"/>
        <v>93.1</v>
      </c>
      <c r="AB12" s="1197">
        <v>68259</v>
      </c>
      <c r="AC12" s="1198">
        <f t="shared" si="9"/>
        <v>87.1</v>
      </c>
      <c r="AD12" s="1199">
        <v>79793</v>
      </c>
      <c r="AE12" s="1194">
        <v>76176</v>
      </c>
      <c r="AF12" s="1195">
        <f t="shared" si="10"/>
        <v>95.5</v>
      </c>
      <c r="AG12" s="1196">
        <v>75795</v>
      </c>
      <c r="AH12" s="1195">
        <f>ROUND(AG12/$AD12*100,1)</f>
        <v>95</v>
      </c>
      <c r="AI12" s="1200">
        <v>61520</v>
      </c>
      <c r="AJ12" s="1195">
        <f t="shared" si="11"/>
        <v>77.099999999999994</v>
      </c>
      <c r="AK12" s="1197">
        <v>69229</v>
      </c>
      <c r="AL12" s="1195">
        <f t="shared" si="12"/>
        <v>86.8</v>
      </c>
      <c r="AM12" s="1201">
        <v>480</v>
      </c>
      <c r="AN12" s="1195">
        <v>0.60155652751494493</v>
      </c>
      <c r="AO12" s="1201">
        <v>474</v>
      </c>
      <c r="AP12" s="1201">
        <v>1176</v>
      </c>
      <c r="AQ12" s="1197">
        <v>76361</v>
      </c>
      <c r="AR12" s="1195">
        <f>ROUND(AQ12/$AD12*100,1)</f>
        <v>95.7</v>
      </c>
      <c r="AS12" s="1197">
        <v>70175</v>
      </c>
      <c r="AT12" s="1195">
        <f t="shared" si="13"/>
        <v>87.9</v>
      </c>
      <c r="AU12" s="1197">
        <v>70546</v>
      </c>
      <c r="AV12" s="1198">
        <f t="shared" si="14"/>
        <v>88.4</v>
      </c>
      <c r="AW12" s="1202">
        <v>85022</v>
      </c>
      <c r="AX12" s="1197">
        <v>73860</v>
      </c>
      <c r="AY12" s="1203">
        <f t="shared" si="15"/>
        <v>86.9</v>
      </c>
      <c r="AZ12" s="1197">
        <v>73294</v>
      </c>
      <c r="BA12" s="1203">
        <f t="shared" si="16"/>
        <v>86.2</v>
      </c>
      <c r="BB12" s="1197">
        <v>73823</v>
      </c>
      <c r="BC12" s="1204">
        <f t="shared" si="17"/>
        <v>86.8</v>
      </c>
      <c r="BD12" s="1205">
        <v>34355</v>
      </c>
      <c r="BE12" s="1197">
        <v>228344</v>
      </c>
      <c r="BF12" s="1206">
        <v>54930</v>
      </c>
      <c r="BG12" s="1205">
        <v>65742</v>
      </c>
      <c r="BH12" s="1207">
        <f t="shared" ref="BH12:BH48" si="18">ROUND(BG12/C12*100,1)</f>
        <v>83.8</v>
      </c>
      <c r="BI12" s="1190" t="s">
        <v>345</v>
      </c>
      <c r="BJ12" s="1191">
        <f>SUM(D12+F12+H12+J12+L12+N12+P12+R12+T12+V12+X12+Z12+AB12+AE12+AG12+AI12+AK12+AM12+AO12+AP12+AQ12+AS12+AU12+AX12+AZ12+BB12+BD12+BE12+BF12)</f>
        <v>1953685</v>
      </c>
    </row>
    <row r="13" spans="1:63" s="1190" customFormat="1" ht="17.100000000000001" customHeight="1" x14ac:dyDescent="0.25">
      <c r="A13" s="1170">
        <v>81</v>
      </c>
      <c r="B13" s="1208" t="s">
        <v>13</v>
      </c>
      <c r="C13" s="1193">
        <v>4272</v>
      </c>
      <c r="D13" s="1194">
        <v>4415</v>
      </c>
      <c r="E13" s="1195">
        <f t="shared" si="0"/>
        <v>103.3</v>
      </c>
      <c r="F13" s="1196">
        <v>4331</v>
      </c>
      <c r="G13" s="1195">
        <f t="shared" si="1"/>
        <v>101.4</v>
      </c>
      <c r="H13" s="1197">
        <v>4651</v>
      </c>
      <c r="I13" s="1195">
        <f t="shared" si="2"/>
        <v>108.9</v>
      </c>
      <c r="J13" s="1197">
        <v>4500</v>
      </c>
      <c r="K13" s="1195">
        <f t="shared" si="2"/>
        <v>105.3</v>
      </c>
      <c r="L13" s="1197">
        <v>4646</v>
      </c>
      <c r="M13" s="1195">
        <f t="shared" si="3"/>
        <v>108.8</v>
      </c>
      <c r="N13" s="1197">
        <v>4615</v>
      </c>
      <c r="O13" s="1195">
        <f t="shared" si="4"/>
        <v>108</v>
      </c>
      <c r="P13" s="1197">
        <v>4499</v>
      </c>
      <c r="Q13" s="1195">
        <f t="shared" si="5"/>
        <v>105.3</v>
      </c>
      <c r="R13" s="1197">
        <v>4471</v>
      </c>
      <c r="S13" s="1195">
        <f t="shared" si="6"/>
        <v>104.7</v>
      </c>
      <c r="T13" s="1197">
        <v>4485</v>
      </c>
      <c r="U13" s="1195">
        <f t="shared" si="7"/>
        <v>105</v>
      </c>
      <c r="V13" s="1196">
        <v>2922</v>
      </c>
      <c r="W13" s="1195">
        <f t="shared" ref="W13:W48" si="19">ROUND(V13/($C13/12*9)*100,1)</f>
        <v>91.2</v>
      </c>
      <c r="X13" s="1191">
        <v>2296</v>
      </c>
      <c r="Y13" s="1195">
        <f t="shared" ref="Y13:Y48" si="20">ROUND(X13/($C13/12*9)*100,1)</f>
        <v>71.7</v>
      </c>
      <c r="Z13" s="1197">
        <v>4715</v>
      </c>
      <c r="AA13" s="1195">
        <f t="shared" si="8"/>
        <v>110.4</v>
      </c>
      <c r="AB13" s="1197">
        <v>4511</v>
      </c>
      <c r="AC13" s="1198">
        <f t="shared" si="9"/>
        <v>105.6</v>
      </c>
      <c r="AD13" s="1199">
        <v>4430</v>
      </c>
      <c r="AE13" s="1194">
        <v>4537</v>
      </c>
      <c r="AF13" s="1195">
        <f t="shared" si="10"/>
        <v>102.4</v>
      </c>
      <c r="AG13" s="1196">
        <v>4496</v>
      </c>
      <c r="AH13" s="1195">
        <f t="shared" ref="AH13:AH47" si="21">ROUND(AG13/$AD13*100,1)</f>
        <v>101.5</v>
      </c>
      <c r="AI13" s="1200">
        <v>5161</v>
      </c>
      <c r="AJ13" s="1195">
        <f t="shared" si="11"/>
        <v>116.5</v>
      </c>
      <c r="AK13" s="1197">
        <v>4418</v>
      </c>
      <c r="AL13" s="1195">
        <f t="shared" si="12"/>
        <v>99.7</v>
      </c>
      <c r="AM13" s="1201">
        <v>42</v>
      </c>
      <c r="AN13" s="1195">
        <v>0.94808126410835214</v>
      </c>
      <c r="AO13" s="1201">
        <v>69</v>
      </c>
      <c r="AP13" s="1201">
        <v>86</v>
      </c>
      <c r="AQ13" s="1197">
        <v>4585</v>
      </c>
      <c r="AR13" s="1195">
        <f>ROUND(AQ13/$AD13*100,1)</f>
        <v>103.5</v>
      </c>
      <c r="AS13" s="1197">
        <v>4002</v>
      </c>
      <c r="AT13" s="1195">
        <f t="shared" si="13"/>
        <v>90.3</v>
      </c>
      <c r="AU13" s="1197">
        <v>4001</v>
      </c>
      <c r="AV13" s="1198">
        <f t="shared" si="14"/>
        <v>90.3</v>
      </c>
      <c r="AW13" s="1202">
        <v>4907</v>
      </c>
      <c r="AX13" s="1197">
        <v>4520</v>
      </c>
      <c r="AY13" s="1203">
        <f t="shared" si="15"/>
        <v>92.1</v>
      </c>
      <c r="AZ13" s="1197">
        <v>4523</v>
      </c>
      <c r="BA13" s="1203">
        <f t="shared" si="16"/>
        <v>92.2</v>
      </c>
      <c r="BB13" s="1197">
        <v>4522</v>
      </c>
      <c r="BC13" s="1204">
        <f t="shared" si="17"/>
        <v>92.2</v>
      </c>
      <c r="BD13" s="1205">
        <v>2356</v>
      </c>
      <c r="BE13" s="1197">
        <v>3169</v>
      </c>
      <c r="BF13" s="1206">
        <v>2750</v>
      </c>
      <c r="BG13" s="1205">
        <v>3628</v>
      </c>
      <c r="BH13" s="1207">
        <f t="shared" si="18"/>
        <v>84.9</v>
      </c>
      <c r="BI13" s="1190" t="s">
        <v>346</v>
      </c>
      <c r="BJ13" s="1191">
        <f t="shared" ref="BJ13:BJ47" si="22">SUM(D13+F13+H13+J13+L13+N13+P13+R13+T13+V13+X13+Z13+AB13+AE13+AG13+AI13+AK13+AM13+AO13+AP13+AQ13+AS13+AU13+AX13+AZ13+BB13+BD13+BE13+BF13)</f>
        <v>108294</v>
      </c>
    </row>
    <row r="14" spans="1:63" s="1190" customFormat="1" ht="17.100000000000001" customHeight="1" x14ac:dyDescent="0.25">
      <c r="A14" s="1170" t="s">
        <v>142</v>
      </c>
      <c r="B14" s="1208" t="s">
        <v>14</v>
      </c>
      <c r="C14" s="1193">
        <v>20672</v>
      </c>
      <c r="D14" s="1194">
        <v>20653</v>
      </c>
      <c r="E14" s="1195">
        <f t="shared" si="0"/>
        <v>99.9</v>
      </c>
      <c r="F14" s="1196">
        <v>18857</v>
      </c>
      <c r="G14" s="1195">
        <f t="shared" si="1"/>
        <v>91.2</v>
      </c>
      <c r="H14" s="1197">
        <v>19610</v>
      </c>
      <c r="I14" s="1195">
        <f t="shared" si="2"/>
        <v>94.9</v>
      </c>
      <c r="J14" s="1197">
        <v>20551</v>
      </c>
      <c r="K14" s="1195">
        <f t="shared" si="2"/>
        <v>99.4</v>
      </c>
      <c r="L14" s="1197">
        <v>19555</v>
      </c>
      <c r="M14" s="1195">
        <f t="shared" si="3"/>
        <v>94.6</v>
      </c>
      <c r="N14" s="1197">
        <v>20019</v>
      </c>
      <c r="O14" s="1195">
        <f t="shared" si="4"/>
        <v>96.8</v>
      </c>
      <c r="P14" s="1197">
        <v>20610</v>
      </c>
      <c r="Q14" s="1195">
        <f t="shared" si="5"/>
        <v>99.7</v>
      </c>
      <c r="R14" s="1197">
        <v>19345</v>
      </c>
      <c r="S14" s="1195">
        <f t="shared" si="6"/>
        <v>93.6</v>
      </c>
      <c r="T14" s="1197">
        <v>19803</v>
      </c>
      <c r="U14" s="1195">
        <f t="shared" si="7"/>
        <v>95.8</v>
      </c>
      <c r="V14" s="1196">
        <v>13271</v>
      </c>
      <c r="W14" s="1195">
        <f t="shared" si="19"/>
        <v>85.6</v>
      </c>
      <c r="X14" s="1191">
        <v>7393</v>
      </c>
      <c r="Y14" s="1195">
        <f t="shared" si="20"/>
        <v>47.7</v>
      </c>
      <c r="Z14" s="1197">
        <v>18180</v>
      </c>
      <c r="AA14" s="1195">
        <f t="shared" si="8"/>
        <v>87.9</v>
      </c>
      <c r="AB14" s="1197">
        <v>18103</v>
      </c>
      <c r="AC14" s="1198">
        <f t="shared" si="9"/>
        <v>87.6</v>
      </c>
      <c r="AD14" s="1199">
        <v>21016</v>
      </c>
      <c r="AE14" s="1194">
        <v>21391</v>
      </c>
      <c r="AF14" s="1195">
        <f t="shared" si="10"/>
        <v>101.8</v>
      </c>
      <c r="AG14" s="1196">
        <v>20701</v>
      </c>
      <c r="AH14" s="1195">
        <f t="shared" si="21"/>
        <v>98.5</v>
      </c>
      <c r="AI14" s="1200">
        <v>19229</v>
      </c>
      <c r="AJ14" s="1195">
        <f t="shared" si="11"/>
        <v>91.5</v>
      </c>
      <c r="AK14" s="1197">
        <v>18776</v>
      </c>
      <c r="AL14" s="1195">
        <f t="shared" si="12"/>
        <v>89.3</v>
      </c>
      <c r="AM14" s="1201">
        <v>141</v>
      </c>
      <c r="AN14" s="1195">
        <v>0.67091739626950897</v>
      </c>
      <c r="AO14" s="1201">
        <v>188</v>
      </c>
      <c r="AP14" s="1201">
        <v>382</v>
      </c>
      <c r="AQ14" s="1197">
        <v>21158</v>
      </c>
      <c r="AR14" s="1195">
        <f>ROUND(AQ14/$AD14*100,1)</f>
        <v>100.7</v>
      </c>
      <c r="AS14" s="1197">
        <v>20131</v>
      </c>
      <c r="AT14" s="1195">
        <f t="shared" si="13"/>
        <v>95.8</v>
      </c>
      <c r="AU14" s="1197">
        <v>20497</v>
      </c>
      <c r="AV14" s="1198">
        <f t="shared" si="14"/>
        <v>97.5</v>
      </c>
      <c r="AW14" s="1202">
        <v>21547</v>
      </c>
      <c r="AX14" s="1197">
        <v>20083</v>
      </c>
      <c r="AY14" s="1203">
        <f t="shared" si="15"/>
        <v>93.2</v>
      </c>
      <c r="AZ14" s="1197">
        <v>21028</v>
      </c>
      <c r="BA14" s="1203">
        <f t="shared" si="16"/>
        <v>97.6</v>
      </c>
      <c r="BB14" s="1197">
        <v>20761</v>
      </c>
      <c r="BC14" s="1204">
        <f t="shared" si="17"/>
        <v>96.4</v>
      </c>
      <c r="BD14" s="1205">
        <v>12536</v>
      </c>
      <c r="BE14" s="1197">
        <v>10678</v>
      </c>
      <c r="BF14" s="1206">
        <v>9073</v>
      </c>
      <c r="BG14" s="1205">
        <v>12954</v>
      </c>
      <c r="BH14" s="1207">
        <f t="shared" si="18"/>
        <v>62.7</v>
      </c>
      <c r="BI14" s="1190" t="s">
        <v>347</v>
      </c>
      <c r="BJ14" s="1191">
        <f t="shared" si="22"/>
        <v>472703</v>
      </c>
    </row>
    <row r="15" spans="1:63" s="1190" customFormat="1" ht="17.100000000000001" customHeight="1" x14ac:dyDescent="0.25">
      <c r="A15" s="1170" t="s">
        <v>245</v>
      </c>
      <c r="B15" s="1209" t="s">
        <v>115</v>
      </c>
      <c r="C15" s="1193">
        <v>21907</v>
      </c>
      <c r="D15" s="1194">
        <v>22270</v>
      </c>
      <c r="E15" s="1195">
        <f t="shared" si="0"/>
        <v>101.7</v>
      </c>
      <c r="F15" s="1196">
        <v>21851</v>
      </c>
      <c r="G15" s="1195">
        <f t="shared" si="1"/>
        <v>99.7</v>
      </c>
      <c r="H15" s="1197">
        <v>21771</v>
      </c>
      <c r="I15" s="1195">
        <f t="shared" si="2"/>
        <v>99.4</v>
      </c>
      <c r="J15" s="1197">
        <v>21238</v>
      </c>
      <c r="K15" s="1195">
        <f t="shared" si="2"/>
        <v>96.9</v>
      </c>
      <c r="L15" s="1197">
        <v>21840</v>
      </c>
      <c r="M15" s="1195">
        <f t="shared" si="3"/>
        <v>99.7</v>
      </c>
      <c r="N15" s="1197">
        <v>21341</v>
      </c>
      <c r="O15" s="1195">
        <f t="shared" si="4"/>
        <v>97.4</v>
      </c>
      <c r="P15" s="1197">
        <v>21305</v>
      </c>
      <c r="Q15" s="1195">
        <f t="shared" si="5"/>
        <v>97.3</v>
      </c>
      <c r="R15" s="1197">
        <v>21570</v>
      </c>
      <c r="S15" s="1195">
        <f t="shared" si="6"/>
        <v>98.5</v>
      </c>
      <c r="T15" s="1197">
        <v>21068</v>
      </c>
      <c r="U15" s="1195">
        <f t="shared" si="7"/>
        <v>96.2</v>
      </c>
      <c r="V15" s="1196">
        <v>18632</v>
      </c>
      <c r="W15" s="1195">
        <f t="shared" si="19"/>
        <v>113.4</v>
      </c>
      <c r="X15" s="1191">
        <v>12802</v>
      </c>
      <c r="Y15" s="1195">
        <f t="shared" si="20"/>
        <v>77.900000000000006</v>
      </c>
      <c r="Z15" s="1197">
        <v>21952</v>
      </c>
      <c r="AA15" s="1195">
        <f t="shared" si="8"/>
        <v>100.2</v>
      </c>
      <c r="AB15" s="1197">
        <v>20979</v>
      </c>
      <c r="AC15" s="1198">
        <f t="shared" si="9"/>
        <v>95.8</v>
      </c>
      <c r="AD15" s="1199">
        <v>21875</v>
      </c>
      <c r="AE15" s="1194">
        <v>21552</v>
      </c>
      <c r="AF15" s="1195">
        <f t="shared" si="10"/>
        <v>98.5</v>
      </c>
      <c r="AG15" s="1196">
        <v>20833</v>
      </c>
      <c r="AH15" s="1195">
        <f t="shared" si="21"/>
        <v>95.2</v>
      </c>
      <c r="AI15" s="1200">
        <v>16019</v>
      </c>
      <c r="AJ15" s="1195">
        <f t="shared" si="11"/>
        <v>73.2</v>
      </c>
      <c r="AK15" s="1197">
        <v>21166</v>
      </c>
      <c r="AL15" s="1195">
        <f t="shared" si="12"/>
        <v>96.8</v>
      </c>
      <c r="AM15" s="1201">
        <v>107</v>
      </c>
      <c r="AN15" s="1195">
        <v>0.48914285714285716</v>
      </c>
      <c r="AO15" s="1201">
        <v>57</v>
      </c>
      <c r="AP15" s="1201">
        <v>164</v>
      </c>
      <c r="AQ15" s="1197">
        <v>21560</v>
      </c>
      <c r="AR15" s="1195">
        <f t="shared" ref="AR15:AR47" si="23">ROUND(AQ15/$AD15*100,1)</f>
        <v>98.6</v>
      </c>
      <c r="AS15" s="1197">
        <v>20293</v>
      </c>
      <c r="AT15" s="1195">
        <f t="shared" si="13"/>
        <v>92.8</v>
      </c>
      <c r="AU15" s="1197">
        <v>20324</v>
      </c>
      <c r="AV15" s="1198">
        <f t="shared" si="14"/>
        <v>92.9</v>
      </c>
      <c r="AW15" s="1202">
        <v>22745</v>
      </c>
      <c r="AX15" s="1197">
        <v>19112</v>
      </c>
      <c r="AY15" s="1203">
        <f t="shared" si="15"/>
        <v>84</v>
      </c>
      <c r="AZ15" s="1197">
        <v>19171</v>
      </c>
      <c r="BA15" s="1203">
        <f t="shared" si="16"/>
        <v>84.3</v>
      </c>
      <c r="BB15" s="1197">
        <v>19158</v>
      </c>
      <c r="BC15" s="1204">
        <f t="shared" si="17"/>
        <v>84.2</v>
      </c>
      <c r="BD15" s="1205">
        <v>3729</v>
      </c>
      <c r="BE15" s="1197">
        <v>24640</v>
      </c>
      <c r="BF15" s="1206">
        <v>14731</v>
      </c>
      <c r="BG15" s="1205">
        <v>17536</v>
      </c>
      <c r="BH15" s="1207">
        <f t="shared" si="18"/>
        <v>80</v>
      </c>
      <c r="BI15" s="1190" t="s">
        <v>347</v>
      </c>
      <c r="BJ15" s="1191">
        <f t="shared" si="22"/>
        <v>511235</v>
      </c>
    </row>
    <row r="16" spans="1:63" s="1190" customFormat="1" ht="17.100000000000001" customHeight="1" x14ac:dyDescent="0.25">
      <c r="A16" s="1170">
        <v>11</v>
      </c>
      <c r="B16" s="1208" t="s">
        <v>348</v>
      </c>
      <c r="C16" s="1193">
        <v>105191</v>
      </c>
      <c r="D16" s="1194">
        <v>112338</v>
      </c>
      <c r="E16" s="1195">
        <f t="shared" si="0"/>
        <v>106.8</v>
      </c>
      <c r="F16" s="1196">
        <v>112126</v>
      </c>
      <c r="G16" s="1195">
        <f t="shared" si="1"/>
        <v>106.6</v>
      </c>
      <c r="H16" s="1197">
        <v>99815</v>
      </c>
      <c r="I16" s="1195">
        <f t="shared" si="2"/>
        <v>94.9</v>
      </c>
      <c r="J16" s="1197">
        <v>100535</v>
      </c>
      <c r="K16" s="1195">
        <f t="shared" si="2"/>
        <v>95.6</v>
      </c>
      <c r="L16" s="1197">
        <v>99870</v>
      </c>
      <c r="M16" s="1195">
        <f t="shared" si="3"/>
        <v>94.9</v>
      </c>
      <c r="N16" s="1197">
        <v>100891</v>
      </c>
      <c r="O16" s="1195">
        <f t="shared" si="4"/>
        <v>95.9</v>
      </c>
      <c r="P16" s="1197">
        <v>100560</v>
      </c>
      <c r="Q16" s="1195">
        <f t="shared" si="5"/>
        <v>95.6</v>
      </c>
      <c r="R16" s="1197">
        <v>98863</v>
      </c>
      <c r="S16" s="1195">
        <f t="shared" si="6"/>
        <v>94</v>
      </c>
      <c r="T16" s="1197">
        <v>99995</v>
      </c>
      <c r="U16" s="1195">
        <f t="shared" si="7"/>
        <v>95.1</v>
      </c>
      <c r="V16" s="1196">
        <v>84894</v>
      </c>
      <c r="W16" s="1195">
        <f t="shared" si="19"/>
        <v>107.6</v>
      </c>
      <c r="X16" s="1191">
        <v>60130</v>
      </c>
      <c r="Y16" s="1195">
        <f t="shared" si="20"/>
        <v>76.2</v>
      </c>
      <c r="Z16" s="1197">
        <v>100029</v>
      </c>
      <c r="AA16" s="1195">
        <f t="shared" si="8"/>
        <v>95.1</v>
      </c>
      <c r="AB16" s="1197">
        <v>100161</v>
      </c>
      <c r="AC16" s="1198">
        <f t="shared" si="9"/>
        <v>95.2</v>
      </c>
      <c r="AD16" s="1199">
        <v>105341</v>
      </c>
      <c r="AE16" s="1194">
        <v>100342</v>
      </c>
      <c r="AF16" s="1195">
        <f t="shared" si="10"/>
        <v>95.3</v>
      </c>
      <c r="AG16" s="1196">
        <v>99127</v>
      </c>
      <c r="AH16" s="1195">
        <f t="shared" si="21"/>
        <v>94.1</v>
      </c>
      <c r="AI16" s="1200">
        <v>81932</v>
      </c>
      <c r="AJ16" s="1195">
        <f t="shared" si="11"/>
        <v>77.8</v>
      </c>
      <c r="AK16" s="1197">
        <v>98761</v>
      </c>
      <c r="AL16" s="1195">
        <f t="shared" si="12"/>
        <v>93.8</v>
      </c>
      <c r="AM16" s="1201">
        <v>235</v>
      </c>
      <c r="AN16" s="1195">
        <v>0.2230850286213345</v>
      </c>
      <c r="AO16" s="1201">
        <v>409</v>
      </c>
      <c r="AP16" s="1201">
        <v>654</v>
      </c>
      <c r="AQ16" s="1197">
        <v>100471</v>
      </c>
      <c r="AR16" s="1195">
        <f t="shared" si="23"/>
        <v>95.4</v>
      </c>
      <c r="AS16" s="1197">
        <v>91104</v>
      </c>
      <c r="AT16" s="1195">
        <f t="shared" si="13"/>
        <v>86.5</v>
      </c>
      <c r="AU16" s="1197">
        <v>91351</v>
      </c>
      <c r="AV16" s="1198">
        <f t="shared" si="14"/>
        <v>86.7</v>
      </c>
      <c r="AW16" s="1202">
        <v>108208</v>
      </c>
      <c r="AX16" s="1197">
        <v>93218</v>
      </c>
      <c r="AY16" s="1203">
        <f t="shared" si="15"/>
        <v>86.1</v>
      </c>
      <c r="AZ16" s="1197">
        <v>90629</v>
      </c>
      <c r="BA16" s="1203">
        <f t="shared" si="16"/>
        <v>83.8</v>
      </c>
      <c r="BB16" s="1197">
        <v>92039</v>
      </c>
      <c r="BC16" s="1204">
        <f t="shared" si="17"/>
        <v>85.1</v>
      </c>
      <c r="BD16" s="1205">
        <v>64269</v>
      </c>
      <c r="BE16" s="1197">
        <v>329351</v>
      </c>
      <c r="BF16" s="1206">
        <v>71240</v>
      </c>
      <c r="BG16" s="1205">
        <v>91905</v>
      </c>
      <c r="BH16" s="1207">
        <f t="shared" si="18"/>
        <v>87.4</v>
      </c>
      <c r="BI16" s="1190" t="s">
        <v>345</v>
      </c>
      <c r="BJ16" s="1191">
        <f t="shared" si="22"/>
        <v>2675339</v>
      </c>
    </row>
    <row r="17" spans="1:62" s="1190" customFormat="1" ht="17.100000000000001" customHeight="1" x14ac:dyDescent="0.25">
      <c r="A17" s="1170">
        <v>13</v>
      </c>
      <c r="B17" s="1208" t="s">
        <v>62</v>
      </c>
      <c r="C17" s="1193">
        <v>22708</v>
      </c>
      <c r="D17" s="1194">
        <v>11559</v>
      </c>
      <c r="E17" s="1195">
        <f t="shared" si="0"/>
        <v>50.9</v>
      </c>
      <c r="F17" s="1196">
        <v>10915</v>
      </c>
      <c r="G17" s="1195">
        <f t="shared" si="1"/>
        <v>48.1</v>
      </c>
      <c r="H17" s="1197">
        <v>17583</v>
      </c>
      <c r="I17" s="1195">
        <f t="shared" si="2"/>
        <v>77.400000000000006</v>
      </c>
      <c r="J17" s="1197">
        <v>18024</v>
      </c>
      <c r="K17" s="1195">
        <f t="shared" si="2"/>
        <v>79.400000000000006</v>
      </c>
      <c r="L17" s="1197">
        <v>17741</v>
      </c>
      <c r="M17" s="1195">
        <f t="shared" si="3"/>
        <v>78.099999999999994</v>
      </c>
      <c r="N17" s="1197">
        <v>18040</v>
      </c>
      <c r="O17" s="1195">
        <f t="shared" si="4"/>
        <v>79.400000000000006</v>
      </c>
      <c r="P17" s="1197">
        <v>18078</v>
      </c>
      <c r="Q17" s="1195">
        <f t="shared" si="5"/>
        <v>79.599999999999994</v>
      </c>
      <c r="R17" s="1197">
        <v>17068</v>
      </c>
      <c r="S17" s="1195">
        <f t="shared" si="6"/>
        <v>75.2</v>
      </c>
      <c r="T17" s="1197">
        <v>17307</v>
      </c>
      <c r="U17" s="1195">
        <f t="shared" si="7"/>
        <v>76.2</v>
      </c>
      <c r="V17" s="1196">
        <v>15545</v>
      </c>
      <c r="W17" s="1195">
        <f t="shared" si="19"/>
        <v>91.3</v>
      </c>
      <c r="X17" s="1191">
        <v>10382</v>
      </c>
      <c r="Y17" s="1195">
        <f t="shared" si="20"/>
        <v>61</v>
      </c>
      <c r="Z17" s="1197">
        <v>17105</v>
      </c>
      <c r="AA17" s="1195">
        <f t="shared" si="8"/>
        <v>75.3</v>
      </c>
      <c r="AB17" s="1197">
        <v>17200</v>
      </c>
      <c r="AC17" s="1198">
        <f t="shared" si="9"/>
        <v>75.7</v>
      </c>
      <c r="AD17" s="1199">
        <v>22993</v>
      </c>
      <c r="AE17" s="1194">
        <v>18803</v>
      </c>
      <c r="AF17" s="1195">
        <f t="shared" si="10"/>
        <v>81.8</v>
      </c>
      <c r="AG17" s="1196">
        <v>17860</v>
      </c>
      <c r="AH17" s="1195">
        <f t="shared" si="21"/>
        <v>77.7</v>
      </c>
      <c r="AI17" s="1200">
        <v>14041</v>
      </c>
      <c r="AJ17" s="1195">
        <f t="shared" si="11"/>
        <v>61.1</v>
      </c>
      <c r="AK17" s="1197">
        <v>18125</v>
      </c>
      <c r="AL17" s="1195">
        <f t="shared" si="12"/>
        <v>78.8</v>
      </c>
      <c r="AM17" s="1201">
        <v>128</v>
      </c>
      <c r="AN17" s="1195">
        <v>0.55669116687687559</v>
      </c>
      <c r="AO17" s="1201">
        <v>188</v>
      </c>
      <c r="AP17" s="1201">
        <v>524</v>
      </c>
      <c r="AQ17" s="1197">
        <v>18918</v>
      </c>
      <c r="AR17" s="1195">
        <f t="shared" si="23"/>
        <v>82.3</v>
      </c>
      <c r="AS17" s="1197">
        <v>18894</v>
      </c>
      <c r="AT17" s="1195">
        <f t="shared" si="13"/>
        <v>82.2</v>
      </c>
      <c r="AU17" s="1197">
        <v>18970</v>
      </c>
      <c r="AV17" s="1198">
        <f t="shared" si="14"/>
        <v>82.5</v>
      </c>
      <c r="AW17" s="1202">
        <v>22474</v>
      </c>
      <c r="AX17" s="1197">
        <v>19305</v>
      </c>
      <c r="AY17" s="1203">
        <f t="shared" si="15"/>
        <v>85.9</v>
      </c>
      <c r="AZ17" s="1197">
        <v>19314</v>
      </c>
      <c r="BA17" s="1203">
        <f t="shared" si="16"/>
        <v>85.9</v>
      </c>
      <c r="BB17" s="1197">
        <v>19148</v>
      </c>
      <c r="BC17" s="1204">
        <f t="shared" si="17"/>
        <v>85.2</v>
      </c>
      <c r="BD17" s="1205">
        <v>10608</v>
      </c>
      <c r="BE17" s="1197">
        <v>22827</v>
      </c>
      <c r="BF17" s="1206">
        <v>12255</v>
      </c>
      <c r="BG17" s="1205">
        <v>13822</v>
      </c>
      <c r="BH17" s="1207">
        <f t="shared" si="18"/>
        <v>60.9</v>
      </c>
      <c r="BI17" s="1190" t="s">
        <v>347</v>
      </c>
      <c r="BJ17" s="1191">
        <f t="shared" si="22"/>
        <v>436455</v>
      </c>
    </row>
    <row r="18" spans="1:62" s="1190" customFormat="1" ht="17.100000000000001" customHeight="1" x14ac:dyDescent="0.25">
      <c r="A18" s="1170">
        <v>13001</v>
      </c>
      <c r="B18" s="1209" t="s">
        <v>45</v>
      </c>
      <c r="C18" s="1193">
        <v>19368</v>
      </c>
      <c r="D18" s="1194">
        <v>19203</v>
      </c>
      <c r="E18" s="1195">
        <f t="shared" si="0"/>
        <v>99.1</v>
      </c>
      <c r="F18" s="1196">
        <v>19034</v>
      </c>
      <c r="G18" s="1195">
        <f t="shared" si="1"/>
        <v>98.3</v>
      </c>
      <c r="H18" s="1197">
        <v>18169</v>
      </c>
      <c r="I18" s="1195">
        <f t="shared" si="2"/>
        <v>93.8</v>
      </c>
      <c r="J18" s="1197">
        <v>17234</v>
      </c>
      <c r="K18" s="1195">
        <f t="shared" si="2"/>
        <v>89</v>
      </c>
      <c r="L18" s="1197">
        <v>18189</v>
      </c>
      <c r="M18" s="1195">
        <f t="shared" si="3"/>
        <v>93.9</v>
      </c>
      <c r="N18" s="1197">
        <v>17869</v>
      </c>
      <c r="O18" s="1195">
        <f t="shared" si="4"/>
        <v>92.3</v>
      </c>
      <c r="P18" s="1197">
        <v>17222</v>
      </c>
      <c r="Q18" s="1195">
        <f t="shared" si="5"/>
        <v>88.9</v>
      </c>
      <c r="R18" s="1197">
        <v>17656</v>
      </c>
      <c r="S18" s="1195">
        <f t="shared" si="6"/>
        <v>91.2</v>
      </c>
      <c r="T18" s="1197">
        <v>17533</v>
      </c>
      <c r="U18" s="1195">
        <f t="shared" si="7"/>
        <v>90.5</v>
      </c>
      <c r="V18" s="1196">
        <v>14309</v>
      </c>
      <c r="W18" s="1195">
        <f t="shared" si="19"/>
        <v>98.5</v>
      </c>
      <c r="X18" s="1191">
        <v>11362</v>
      </c>
      <c r="Y18" s="1195">
        <f t="shared" si="20"/>
        <v>78.2</v>
      </c>
      <c r="Z18" s="1197">
        <v>17343</v>
      </c>
      <c r="AA18" s="1195">
        <f t="shared" si="8"/>
        <v>89.5</v>
      </c>
      <c r="AB18" s="1197">
        <v>16745</v>
      </c>
      <c r="AC18" s="1198">
        <f t="shared" si="9"/>
        <v>86.5</v>
      </c>
      <c r="AD18" s="1199">
        <v>19587</v>
      </c>
      <c r="AE18" s="1194">
        <v>18020</v>
      </c>
      <c r="AF18" s="1195">
        <f t="shared" si="10"/>
        <v>92</v>
      </c>
      <c r="AG18" s="1196">
        <v>17600</v>
      </c>
      <c r="AH18" s="1195">
        <f t="shared" si="21"/>
        <v>89.9</v>
      </c>
      <c r="AI18" s="1200">
        <v>13487</v>
      </c>
      <c r="AJ18" s="1195">
        <f t="shared" si="11"/>
        <v>68.900000000000006</v>
      </c>
      <c r="AK18" s="1197">
        <v>16160</v>
      </c>
      <c r="AL18" s="1195">
        <f t="shared" si="12"/>
        <v>82.5</v>
      </c>
      <c r="AM18" s="1201">
        <v>56</v>
      </c>
      <c r="AN18" s="1195">
        <v>0.28590391586256192</v>
      </c>
      <c r="AO18" s="1201">
        <v>166</v>
      </c>
      <c r="AP18" s="1201">
        <v>208</v>
      </c>
      <c r="AQ18" s="1197">
        <v>18088</v>
      </c>
      <c r="AR18" s="1195">
        <f t="shared" si="23"/>
        <v>92.3</v>
      </c>
      <c r="AS18" s="1197">
        <v>15702</v>
      </c>
      <c r="AT18" s="1195">
        <f t="shared" si="13"/>
        <v>80.2</v>
      </c>
      <c r="AU18" s="1197">
        <v>15741</v>
      </c>
      <c r="AV18" s="1198">
        <f t="shared" si="14"/>
        <v>80.400000000000006</v>
      </c>
      <c r="AW18" s="1202">
        <v>18768</v>
      </c>
      <c r="AX18" s="1197">
        <v>15267</v>
      </c>
      <c r="AY18" s="1203">
        <f>ROUND(AX18/$AW18*100,1)</f>
        <v>81.3</v>
      </c>
      <c r="AZ18" s="1197">
        <v>15258</v>
      </c>
      <c r="BA18" s="1203">
        <f>ROUND(AZ18/$AW18*100,1)</f>
        <v>81.3</v>
      </c>
      <c r="BB18" s="1197">
        <v>15479</v>
      </c>
      <c r="BC18" s="1204">
        <f>ROUND(BB18/$AW18*100,1)</f>
        <v>82.5</v>
      </c>
      <c r="BD18" s="1205">
        <v>4708</v>
      </c>
      <c r="BE18" s="1197">
        <v>16252</v>
      </c>
      <c r="BF18" s="1206">
        <v>15040</v>
      </c>
      <c r="BG18" s="1205">
        <v>15013</v>
      </c>
      <c r="BH18" s="1207">
        <f t="shared" si="18"/>
        <v>77.5</v>
      </c>
      <c r="BI18" s="1190" t="s">
        <v>347</v>
      </c>
      <c r="BJ18" s="1191">
        <f t="shared" si="22"/>
        <v>419100</v>
      </c>
    </row>
    <row r="19" spans="1:62" s="1190" customFormat="1" ht="17.100000000000001" customHeight="1" x14ac:dyDescent="0.25">
      <c r="A19" s="1170">
        <v>15</v>
      </c>
      <c r="B19" s="1192" t="s">
        <v>17</v>
      </c>
      <c r="C19" s="1193">
        <v>16432</v>
      </c>
      <c r="D19" s="1194">
        <v>15612</v>
      </c>
      <c r="E19" s="1195">
        <f t="shared" si="0"/>
        <v>95</v>
      </c>
      <c r="F19" s="1196">
        <v>15461</v>
      </c>
      <c r="G19" s="1195">
        <f t="shared" si="1"/>
        <v>94.1</v>
      </c>
      <c r="H19" s="1197">
        <v>15677</v>
      </c>
      <c r="I19" s="1195">
        <f t="shared" si="2"/>
        <v>95.4</v>
      </c>
      <c r="J19" s="1197">
        <v>15359</v>
      </c>
      <c r="K19" s="1195">
        <f t="shared" si="2"/>
        <v>93.5</v>
      </c>
      <c r="L19" s="1197">
        <v>15720</v>
      </c>
      <c r="M19" s="1195">
        <f t="shared" si="3"/>
        <v>95.7</v>
      </c>
      <c r="N19" s="1197">
        <v>15354</v>
      </c>
      <c r="O19" s="1195">
        <f t="shared" si="4"/>
        <v>93.4</v>
      </c>
      <c r="P19" s="1197">
        <v>15370</v>
      </c>
      <c r="Q19" s="1195">
        <f t="shared" si="5"/>
        <v>93.5</v>
      </c>
      <c r="R19" s="1197">
        <v>15636</v>
      </c>
      <c r="S19" s="1195">
        <f t="shared" si="6"/>
        <v>95.2</v>
      </c>
      <c r="T19" s="1197">
        <v>15304</v>
      </c>
      <c r="U19" s="1195">
        <f t="shared" si="7"/>
        <v>93.1</v>
      </c>
      <c r="V19" s="1196">
        <v>14015</v>
      </c>
      <c r="W19" s="1195">
        <f t="shared" si="19"/>
        <v>113.7</v>
      </c>
      <c r="X19" s="1191">
        <v>11921</v>
      </c>
      <c r="Y19" s="1195">
        <f t="shared" si="20"/>
        <v>96.7</v>
      </c>
      <c r="Z19" s="1197">
        <v>15722</v>
      </c>
      <c r="AA19" s="1195">
        <f t="shared" si="8"/>
        <v>95.7</v>
      </c>
      <c r="AB19" s="1197">
        <v>15326</v>
      </c>
      <c r="AC19" s="1198">
        <f t="shared" si="9"/>
        <v>93.3</v>
      </c>
      <c r="AD19" s="1199">
        <v>16748</v>
      </c>
      <c r="AE19" s="1194">
        <v>15724</v>
      </c>
      <c r="AF19" s="1195">
        <f t="shared" si="10"/>
        <v>93.9</v>
      </c>
      <c r="AG19" s="1196">
        <v>15596</v>
      </c>
      <c r="AH19" s="1195">
        <f t="shared" si="21"/>
        <v>93.1</v>
      </c>
      <c r="AI19" s="1200">
        <v>14089</v>
      </c>
      <c r="AJ19" s="1195">
        <f t="shared" si="11"/>
        <v>84.1</v>
      </c>
      <c r="AK19" s="1197">
        <v>15541</v>
      </c>
      <c r="AL19" s="1195">
        <f t="shared" si="12"/>
        <v>92.8</v>
      </c>
      <c r="AM19" s="1201">
        <v>66</v>
      </c>
      <c r="AN19" s="1195">
        <v>0.39407690470503942</v>
      </c>
      <c r="AO19" s="1201">
        <v>38</v>
      </c>
      <c r="AP19" s="1201">
        <v>68</v>
      </c>
      <c r="AQ19" s="1197">
        <v>15745</v>
      </c>
      <c r="AR19" s="1195">
        <f t="shared" si="23"/>
        <v>94</v>
      </c>
      <c r="AS19" s="1197">
        <v>15242</v>
      </c>
      <c r="AT19" s="1195">
        <f t="shared" si="13"/>
        <v>91</v>
      </c>
      <c r="AU19" s="1197">
        <v>15257</v>
      </c>
      <c r="AV19" s="1198">
        <f t="shared" si="14"/>
        <v>91.1</v>
      </c>
      <c r="AW19" s="1202">
        <v>18801</v>
      </c>
      <c r="AX19" s="1197">
        <v>16846</v>
      </c>
      <c r="AY19" s="1203">
        <f t="shared" si="15"/>
        <v>89.6</v>
      </c>
      <c r="AZ19" s="1197">
        <v>16833</v>
      </c>
      <c r="BA19" s="1203">
        <f t="shared" si="16"/>
        <v>89.5</v>
      </c>
      <c r="BB19" s="1197">
        <v>16834</v>
      </c>
      <c r="BC19" s="1204">
        <f t="shared" si="17"/>
        <v>89.5</v>
      </c>
      <c r="BD19" s="1205">
        <v>5604</v>
      </c>
      <c r="BE19" s="1197">
        <v>47547</v>
      </c>
      <c r="BF19" s="1206">
        <v>12258</v>
      </c>
      <c r="BG19" s="1205">
        <v>13626</v>
      </c>
      <c r="BH19" s="1207">
        <f t="shared" si="18"/>
        <v>82.9</v>
      </c>
      <c r="BI19" s="1190" t="s">
        <v>345</v>
      </c>
      <c r="BJ19" s="1191">
        <f t="shared" si="22"/>
        <v>419765</v>
      </c>
    </row>
    <row r="20" spans="1:62" s="1190" customFormat="1" ht="17.100000000000001" customHeight="1" x14ac:dyDescent="0.25">
      <c r="A20" s="1170">
        <v>17</v>
      </c>
      <c r="B20" s="1192" t="s">
        <v>19</v>
      </c>
      <c r="C20" s="1193">
        <v>10276</v>
      </c>
      <c r="D20" s="1194">
        <v>9876</v>
      </c>
      <c r="E20" s="1195">
        <f t="shared" si="0"/>
        <v>96.1</v>
      </c>
      <c r="F20" s="1196">
        <v>9726</v>
      </c>
      <c r="G20" s="1195">
        <f t="shared" si="1"/>
        <v>94.6</v>
      </c>
      <c r="H20" s="1197">
        <v>9719</v>
      </c>
      <c r="I20" s="1195">
        <f t="shared" si="2"/>
        <v>94.6</v>
      </c>
      <c r="J20" s="1197">
        <v>9794</v>
      </c>
      <c r="K20" s="1195">
        <f t="shared" si="2"/>
        <v>95.3</v>
      </c>
      <c r="L20" s="1197">
        <v>9733</v>
      </c>
      <c r="M20" s="1195">
        <f t="shared" si="3"/>
        <v>94.7</v>
      </c>
      <c r="N20" s="1197">
        <v>9658</v>
      </c>
      <c r="O20" s="1195">
        <f t="shared" si="4"/>
        <v>94</v>
      </c>
      <c r="P20" s="1197">
        <v>9779</v>
      </c>
      <c r="Q20" s="1195">
        <f t="shared" si="5"/>
        <v>95.2</v>
      </c>
      <c r="R20" s="1197">
        <v>9583</v>
      </c>
      <c r="S20" s="1195">
        <f t="shared" si="6"/>
        <v>93.3</v>
      </c>
      <c r="T20" s="1197">
        <v>9577</v>
      </c>
      <c r="U20" s="1195">
        <f t="shared" si="7"/>
        <v>93.2</v>
      </c>
      <c r="V20" s="1196">
        <v>8513</v>
      </c>
      <c r="W20" s="1195">
        <f t="shared" si="19"/>
        <v>110.5</v>
      </c>
      <c r="X20" s="1191">
        <v>6639</v>
      </c>
      <c r="Y20" s="1195">
        <f t="shared" si="20"/>
        <v>86.1</v>
      </c>
      <c r="Z20" s="1197">
        <v>9646</v>
      </c>
      <c r="AA20" s="1195">
        <f t="shared" si="8"/>
        <v>93.9</v>
      </c>
      <c r="AB20" s="1197">
        <v>9686</v>
      </c>
      <c r="AC20" s="1198">
        <f t="shared" si="9"/>
        <v>94.3</v>
      </c>
      <c r="AD20" s="1199">
        <v>10498</v>
      </c>
      <c r="AE20" s="1194">
        <v>9863</v>
      </c>
      <c r="AF20" s="1195">
        <f t="shared" si="10"/>
        <v>94</v>
      </c>
      <c r="AG20" s="1196">
        <v>9835</v>
      </c>
      <c r="AH20" s="1195">
        <f t="shared" si="21"/>
        <v>93.7</v>
      </c>
      <c r="AI20" s="1200">
        <v>8182</v>
      </c>
      <c r="AJ20" s="1195">
        <f t="shared" si="11"/>
        <v>77.900000000000006</v>
      </c>
      <c r="AK20" s="1197">
        <v>9738</v>
      </c>
      <c r="AL20" s="1195">
        <f t="shared" si="12"/>
        <v>92.8</v>
      </c>
      <c r="AM20" s="1201">
        <v>177</v>
      </c>
      <c r="AN20" s="1195">
        <v>1.6860354353210136</v>
      </c>
      <c r="AO20" s="1201">
        <v>6</v>
      </c>
      <c r="AP20" s="1201">
        <v>8</v>
      </c>
      <c r="AQ20" s="1197">
        <v>9953</v>
      </c>
      <c r="AR20" s="1195">
        <f t="shared" si="23"/>
        <v>94.8</v>
      </c>
      <c r="AS20" s="1197">
        <v>9935</v>
      </c>
      <c r="AT20" s="1195">
        <f t="shared" si="13"/>
        <v>94.6</v>
      </c>
      <c r="AU20" s="1197">
        <v>9799</v>
      </c>
      <c r="AV20" s="1198">
        <f t="shared" si="14"/>
        <v>93.3</v>
      </c>
      <c r="AW20" s="1202">
        <v>11346</v>
      </c>
      <c r="AX20" s="1197">
        <v>10361</v>
      </c>
      <c r="AY20" s="1203">
        <f t="shared" si="15"/>
        <v>91.3</v>
      </c>
      <c r="AZ20" s="1197">
        <v>10296</v>
      </c>
      <c r="BA20" s="1203">
        <f t="shared" si="16"/>
        <v>90.7</v>
      </c>
      <c r="BB20" s="1197">
        <v>10240</v>
      </c>
      <c r="BC20" s="1204">
        <f t="shared" si="17"/>
        <v>90.3</v>
      </c>
      <c r="BD20" s="1205">
        <v>3419</v>
      </c>
      <c r="BE20" s="1197">
        <v>37002</v>
      </c>
      <c r="BF20" s="1206">
        <v>7119</v>
      </c>
      <c r="BG20" s="1205">
        <v>8611</v>
      </c>
      <c r="BH20" s="1207">
        <f t="shared" si="18"/>
        <v>83.8</v>
      </c>
      <c r="BI20" s="1190" t="s">
        <v>345</v>
      </c>
      <c r="BJ20" s="1191">
        <f t="shared" si="22"/>
        <v>267862</v>
      </c>
    </row>
    <row r="21" spans="1:62" s="1190" customFormat="1" ht="17.100000000000001" customHeight="1" x14ac:dyDescent="0.25">
      <c r="A21" s="1170">
        <v>18</v>
      </c>
      <c r="B21" s="1208" t="s">
        <v>63</v>
      </c>
      <c r="C21" s="1193">
        <v>8825</v>
      </c>
      <c r="D21" s="1194">
        <v>7261</v>
      </c>
      <c r="E21" s="1195">
        <f t="shared" si="0"/>
        <v>82.3</v>
      </c>
      <c r="F21" s="1196">
        <v>7004</v>
      </c>
      <c r="G21" s="1195">
        <f t="shared" si="1"/>
        <v>79.400000000000006</v>
      </c>
      <c r="H21" s="1197">
        <v>7153</v>
      </c>
      <c r="I21" s="1195">
        <f t="shared" si="2"/>
        <v>81.099999999999994</v>
      </c>
      <c r="J21" s="1197">
        <v>6679</v>
      </c>
      <c r="K21" s="1195">
        <f t="shared" si="2"/>
        <v>75.7</v>
      </c>
      <c r="L21" s="1197">
        <v>7155</v>
      </c>
      <c r="M21" s="1195">
        <f t="shared" si="3"/>
        <v>81.099999999999994</v>
      </c>
      <c r="N21" s="1197">
        <v>6986</v>
      </c>
      <c r="O21" s="1195">
        <f t="shared" si="4"/>
        <v>79.2</v>
      </c>
      <c r="P21" s="1197">
        <v>6679</v>
      </c>
      <c r="Q21" s="1195">
        <f t="shared" si="5"/>
        <v>75.7</v>
      </c>
      <c r="R21" s="1197">
        <v>6625</v>
      </c>
      <c r="S21" s="1195">
        <f t="shared" si="6"/>
        <v>75.099999999999994</v>
      </c>
      <c r="T21" s="1197">
        <v>6628</v>
      </c>
      <c r="U21" s="1195">
        <f t="shared" si="7"/>
        <v>75.099999999999994</v>
      </c>
      <c r="V21" s="1196">
        <v>6369</v>
      </c>
      <c r="W21" s="1195">
        <f t="shared" si="19"/>
        <v>96.2</v>
      </c>
      <c r="X21" s="1191">
        <v>4670</v>
      </c>
      <c r="Y21" s="1195">
        <f t="shared" si="20"/>
        <v>70.599999999999994</v>
      </c>
      <c r="Z21" s="1197">
        <v>7160</v>
      </c>
      <c r="AA21" s="1195">
        <f t="shared" si="8"/>
        <v>81.099999999999994</v>
      </c>
      <c r="AB21" s="1197">
        <v>6982</v>
      </c>
      <c r="AC21" s="1198">
        <f t="shared" si="9"/>
        <v>79.099999999999994</v>
      </c>
      <c r="AD21" s="1199">
        <v>9227</v>
      </c>
      <c r="AE21" s="1194">
        <v>7257</v>
      </c>
      <c r="AF21" s="1195">
        <f t="shared" si="10"/>
        <v>78.599999999999994</v>
      </c>
      <c r="AG21" s="1196">
        <v>7201</v>
      </c>
      <c r="AH21" s="1195">
        <f t="shared" si="21"/>
        <v>78</v>
      </c>
      <c r="AI21" s="1200">
        <v>7609</v>
      </c>
      <c r="AJ21" s="1195">
        <f t="shared" si="11"/>
        <v>82.5</v>
      </c>
      <c r="AK21" s="1197">
        <v>7114</v>
      </c>
      <c r="AL21" s="1195">
        <f t="shared" si="12"/>
        <v>77.099999999999994</v>
      </c>
      <c r="AM21" s="1201">
        <v>115</v>
      </c>
      <c r="AN21" s="1195">
        <v>1.2463422564213722</v>
      </c>
      <c r="AO21" s="1201">
        <v>207</v>
      </c>
      <c r="AP21" s="1201">
        <v>196</v>
      </c>
      <c r="AQ21" s="1197">
        <v>7273</v>
      </c>
      <c r="AR21" s="1195">
        <f t="shared" si="23"/>
        <v>78.8</v>
      </c>
      <c r="AS21" s="1197">
        <v>6255</v>
      </c>
      <c r="AT21" s="1195">
        <f t="shared" si="13"/>
        <v>67.8</v>
      </c>
      <c r="AU21" s="1197">
        <v>6255</v>
      </c>
      <c r="AV21" s="1198">
        <f t="shared" si="14"/>
        <v>67.8</v>
      </c>
      <c r="AW21" s="1202">
        <v>9508</v>
      </c>
      <c r="AX21" s="1197">
        <v>6997</v>
      </c>
      <c r="AY21" s="1203">
        <f t="shared" si="15"/>
        <v>73.599999999999994</v>
      </c>
      <c r="AZ21" s="1197">
        <v>6996</v>
      </c>
      <c r="BA21" s="1203">
        <f t="shared" si="16"/>
        <v>73.599999999999994</v>
      </c>
      <c r="BB21" s="1197">
        <v>7005</v>
      </c>
      <c r="BC21" s="1204">
        <f t="shared" si="17"/>
        <v>73.7</v>
      </c>
      <c r="BD21" s="1205">
        <v>4243</v>
      </c>
      <c r="BE21" s="1197">
        <v>9873</v>
      </c>
      <c r="BF21" s="1206">
        <v>5637</v>
      </c>
      <c r="BG21" s="1205">
        <v>5884</v>
      </c>
      <c r="BH21" s="1207">
        <f t="shared" si="18"/>
        <v>66.7</v>
      </c>
      <c r="BI21" s="1190" t="s">
        <v>344</v>
      </c>
      <c r="BJ21" s="1191">
        <f t="shared" si="22"/>
        <v>177584</v>
      </c>
    </row>
    <row r="22" spans="1:62" s="1190" customFormat="1" ht="17.100000000000001" customHeight="1" x14ac:dyDescent="0.25">
      <c r="A22" s="1170">
        <v>85</v>
      </c>
      <c r="B22" s="1192" t="s">
        <v>21</v>
      </c>
      <c r="C22" s="1193">
        <v>7580</v>
      </c>
      <c r="D22" s="1194">
        <v>6420</v>
      </c>
      <c r="E22" s="1195">
        <f t="shared" si="0"/>
        <v>84.7</v>
      </c>
      <c r="F22" s="1196">
        <v>6278</v>
      </c>
      <c r="G22" s="1195">
        <f t="shared" si="1"/>
        <v>82.8</v>
      </c>
      <c r="H22" s="1197">
        <v>6836</v>
      </c>
      <c r="I22" s="1195">
        <f t="shared" si="2"/>
        <v>90.2</v>
      </c>
      <c r="J22" s="1197">
        <v>6917</v>
      </c>
      <c r="K22" s="1195">
        <f t="shared" si="2"/>
        <v>91.3</v>
      </c>
      <c r="L22" s="1197">
        <v>6836</v>
      </c>
      <c r="M22" s="1195">
        <f t="shared" si="3"/>
        <v>90.2</v>
      </c>
      <c r="N22" s="1197">
        <v>6885</v>
      </c>
      <c r="O22" s="1195">
        <f t="shared" si="4"/>
        <v>90.8</v>
      </c>
      <c r="P22" s="1197">
        <v>6928</v>
      </c>
      <c r="Q22" s="1195">
        <f t="shared" si="5"/>
        <v>91.4</v>
      </c>
      <c r="R22" s="1197">
        <v>6758</v>
      </c>
      <c r="S22" s="1195">
        <f t="shared" si="6"/>
        <v>89.2</v>
      </c>
      <c r="T22" s="1197">
        <v>6820</v>
      </c>
      <c r="U22" s="1195">
        <f t="shared" si="7"/>
        <v>90</v>
      </c>
      <c r="V22" s="1196">
        <v>6228</v>
      </c>
      <c r="W22" s="1195">
        <f t="shared" si="19"/>
        <v>109.6</v>
      </c>
      <c r="X22" s="1191">
        <v>4470</v>
      </c>
      <c r="Y22" s="1195">
        <f t="shared" si="20"/>
        <v>78.599999999999994</v>
      </c>
      <c r="Z22" s="1197">
        <v>6848</v>
      </c>
      <c r="AA22" s="1195">
        <f t="shared" si="8"/>
        <v>90.3</v>
      </c>
      <c r="AB22" s="1197">
        <v>6888</v>
      </c>
      <c r="AC22" s="1198">
        <f t="shared" si="9"/>
        <v>90.9</v>
      </c>
      <c r="AD22" s="1199">
        <v>7749</v>
      </c>
      <c r="AE22" s="1194">
        <v>7149</v>
      </c>
      <c r="AF22" s="1195">
        <f t="shared" si="10"/>
        <v>92.3</v>
      </c>
      <c r="AG22" s="1196">
        <v>7111</v>
      </c>
      <c r="AH22" s="1195">
        <f t="shared" si="21"/>
        <v>91.8</v>
      </c>
      <c r="AI22" s="1200">
        <v>7242</v>
      </c>
      <c r="AJ22" s="1195">
        <f t="shared" si="11"/>
        <v>93.5</v>
      </c>
      <c r="AK22" s="1197">
        <v>7137</v>
      </c>
      <c r="AL22" s="1195">
        <f t="shared" si="12"/>
        <v>92.1</v>
      </c>
      <c r="AM22" s="1201">
        <v>1</v>
      </c>
      <c r="AN22" s="1195">
        <v>1.2904890953671441E-2</v>
      </c>
      <c r="AO22" s="1201">
        <v>9</v>
      </c>
      <c r="AP22" s="1201">
        <v>21</v>
      </c>
      <c r="AQ22" s="1197">
        <v>7146</v>
      </c>
      <c r="AR22" s="1195">
        <f t="shared" si="23"/>
        <v>92.2</v>
      </c>
      <c r="AS22" s="1197">
        <v>7163</v>
      </c>
      <c r="AT22" s="1195">
        <f t="shared" si="13"/>
        <v>92.4</v>
      </c>
      <c r="AU22" s="1197">
        <v>7163</v>
      </c>
      <c r="AV22" s="1198">
        <f t="shared" si="14"/>
        <v>92.4</v>
      </c>
      <c r="AW22" s="1202">
        <v>7660</v>
      </c>
      <c r="AX22" s="1197">
        <v>7112</v>
      </c>
      <c r="AY22" s="1203">
        <f t="shared" si="15"/>
        <v>92.8</v>
      </c>
      <c r="AZ22" s="1197">
        <v>7108</v>
      </c>
      <c r="BA22" s="1203">
        <f t="shared" si="16"/>
        <v>92.8</v>
      </c>
      <c r="BB22" s="1197">
        <v>7115</v>
      </c>
      <c r="BC22" s="1204">
        <f t="shared" si="17"/>
        <v>92.9</v>
      </c>
      <c r="BD22" s="1205">
        <v>1782</v>
      </c>
      <c r="BE22" s="1197">
        <v>7178</v>
      </c>
      <c r="BF22" s="1206">
        <v>4649</v>
      </c>
      <c r="BG22" s="1205">
        <v>5345</v>
      </c>
      <c r="BH22" s="1207">
        <f t="shared" si="18"/>
        <v>70.5</v>
      </c>
      <c r="BI22" s="1190" t="s">
        <v>346</v>
      </c>
      <c r="BJ22" s="1191">
        <f t="shared" si="22"/>
        <v>170198</v>
      </c>
    </row>
    <row r="23" spans="1:62" s="1190" customFormat="1" ht="17.100000000000001" customHeight="1" x14ac:dyDescent="0.25">
      <c r="A23" s="1170">
        <v>19</v>
      </c>
      <c r="B23" s="1208" t="s">
        <v>18</v>
      </c>
      <c r="C23" s="1193">
        <v>22448</v>
      </c>
      <c r="D23" s="1194">
        <v>17198</v>
      </c>
      <c r="E23" s="1195">
        <f t="shared" si="0"/>
        <v>76.599999999999994</v>
      </c>
      <c r="F23" s="1196">
        <v>16671</v>
      </c>
      <c r="G23" s="1195">
        <f t="shared" si="1"/>
        <v>74.3</v>
      </c>
      <c r="H23" s="1197">
        <v>20784</v>
      </c>
      <c r="I23" s="1195">
        <f t="shared" si="2"/>
        <v>92.6</v>
      </c>
      <c r="J23" s="1197">
        <v>20612</v>
      </c>
      <c r="K23" s="1195">
        <f t="shared" si="2"/>
        <v>91.8</v>
      </c>
      <c r="L23" s="1197">
        <v>20821</v>
      </c>
      <c r="M23" s="1195">
        <f t="shared" si="3"/>
        <v>92.8</v>
      </c>
      <c r="N23" s="1197">
        <v>20735</v>
      </c>
      <c r="O23" s="1195">
        <f t="shared" si="4"/>
        <v>92.4</v>
      </c>
      <c r="P23" s="1197">
        <v>20581</v>
      </c>
      <c r="Q23" s="1195">
        <f t="shared" si="5"/>
        <v>91.7</v>
      </c>
      <c r="R23" s="1197">
        <v>20184</v>
      </c>
      <c r="S23" s="1195">
        <f t="shared" si="6"/>
        <v>89.9</v>
      </c>
      <c r="T23" s="1197">
        <v>20205</v>
      </c>
      <c r="U23" s="1195">
        <f t="shared" si="7"/>
        <v>90</v>
      </c>
      <c r="V23" s="1196">
        <v>18715</v>
      </c>
      <c r="W23" s="1195">
        <f t="shared" si="19"/>
        <v>111.2</v>
      </c>
      <c r="X23" s="1191">
        <v>13471</v>
      </c>
      <c r="Y23" s="1195">
        <f t="shared" si="20"/>
        <v>80</v>
      </c>
      <c r="Z23" s="1197">
        <v>20478</v>
      </c>
      <c r="AA23" s="1195">
        <f t="shared" si="8"/>
        <v>91.2</v>
      </c>
      <c r="AB23" s="1197">
        <v>20026</v>
      </c>
      <c r="AC23" s="1198">
        <f t="shared" si="9"/>
        <v>89.2</v>
      </c>
      <c r="AD23" s="1199">
        <v>23092</v>
      </c>
      <c r="AE23" s="1194">
        <v>21112</v>
      </c>
      <c r="AF23" s="1195">
        <f t="shared" si="10"/>
        <v>91.4</v>
      </c>
      <c r="AG23" s="1196">
        <v>20824</v>
      </c>
      <c r="AH23" s="1195">
        <f t="shared" si="21"/>
        <v>90.2</v>
      </c>
      <c r="AI23" s="1200">
        <v>17864</v>
      </c>
      <c r="AJ23" s="1195">
        <f t="shared" si="11"/>
        <v>77.400000000000006</v>
      </c>
      <c r="AK23" s="1197">
        <v>20381</v>
      </c>
      <c r="AL23" s="1195">
        <f t="shared" si="12"/>
        <v>88.3</v>
      </c>
      <c r="AM23" s="1201">
        <v>92</v>
      </c>
      <c r="AN23" s="1195">
        <v>0.39840637450199201</v>
      </c>
      <c r="AO23" s="1201">
        <v>158</v>
      </c>
      <c r="AP23" s="1201">
        <v>158</v>
      </c>
      <c r="AQ23" s="1197">
        <v>21078</v>
      </c>
      <c r="AR23" s="1195">
        <f t="shared" si="23"/>
        <v>91.3</v>
      </c>
      <c r="AS23" s="1197">
        <v>19067</v>
      </c>
      <c r="AT23" s="1195">
        <f t="shared" si="13"/>
        <v>82.6</v>
      </c>
      <c r="AU23" s="1197">
        <v>19073</v>
      </c>
      <c r="AV23" s="1198">
        <f t="shared" si="14"/>
        <v>82.6</v>
      </c>
      <c r="AW23" s="1202">
        <v>23455</v>
      </c>
      <c r="AX23" s="1197">
        <v>20942</v>
      </c>
      <c r="AY23" s="1203">
        <f t="shared" si="15"/>
        <v>89.3</v>
      </c>
      <c r="AZ23" s="1197">
        <v>20795</v>
      </c>
      <c r="BA23" s="1203">
        <f t="shared" si="16"/>
        <v>88.7</v>
      </c>
      <c r="BB23" s="1197">
        <v>20820</v>
      </c>
      <c r="BC23" s="1204">
        <f t="shared" si="17"/>
        <v>88.8</v>
      </c>
      <c r="BD23" s="1205">
        <v>5642</v>
      </c>
      <c r="BE23" s="1197">
        <v>44960</v>
      </c>
      <c r="BF23" s="1206">
        <v>12834</v>
      </c>
      <c r="BG23" s="1205">
        <v>15285</v>
      </c>
      <c r="BH23" s="1207">
        <f t="shared" si="18"/>
        <v>68.099999999999994</v>
      </c>
      <c r="BI23" s="1190" t="s">
        <v>352</v>
      </c>
      <c r="BJ23" s="1191">
        <f t="shared" si="22"/>
        <v>516281</v>
      </c>
    </row>
    <row r="24" spans="1:62" s="1190" customFormat="1" ht="17.100000000000001" customHeight="1" x14ac:dyDescent="0.25">
      <c r="A24" s="1170">
        <v>20</v>
      </c>
      <c r="B24" s="1208" t="s">
        <v>22</v>
      </c>
      <c r="C24" s="1193">
        <v>23728</v>
      </c>
      <c r="D24" s="1194">
        <v>20554</v>
      </c>
      <c r="E24" s="1195">
        <f t="shared" si="0"/>
        <v>86.6</v>
      </c>
      <c r="F24" s="1196">
        <v>20021</v>
      </c>
      <c r="G24" s="1195">
        <f t="shared" si="1"/>
        <v>84.4</v>
      </c>
      <c r="H24" s="1197">
        <v>22284</v>
      </c>
      <c r="I24" s="1195">
        <f t="shared" si="2"/>
        <v>93.9</v>
      </c>
      <c r="J24" s="1197">
        <v>21321</v>
      </c>
      <c r="K24" s="1195">
        <f t="shared" si="2"/>
        <v>89.9</v>
      </c>
      <c r="L24" s="1197">
        <v>22312</v>
      </c>
      <c r="M24" s="1195">
        <f t="shared" si="3"/>
        <v>94</v>
      </c>
      <c r="N24" s="1197">
        <v>22013</v>
      </c>
      <c r="O24" s="1195">
        <f t="shared" si="4"/>
        <v>92.8</v>
      </c>
      <c r="P24" s="1197">
        <v>21335</v>
      </c>
      <c r="Q24" s="1195">
        <f t="shared" si="5"/>
        <v>89.9</v>
      </c>
      <c r="R24" s="1197">
        <v>21522</v>
      </c>
      <c r="S24" s="1195">
        <f t="shared" si="6"/>
        <v>90.7</v>
      </c>
      <c r="T24" s="1197">
        <v>21374</v>
      </c>
      <c r="U24" s="1195">
        <f t="shared" si="7"/>
        <v>90.1</v>
      </c>
      <c r="V24" s="1196">
        <v>19157</v>
      </c>
      <c r="W24" s="1195">
        <f t="shared" si="19"/>
        <v>107.6</v>
      </c>
      <c r="X24" s="1191">
        <v>14164</v>
      </c>
      <c r="Y24" s="1195">
        <f t="shared" si="20"/>
        <v>79.599999999999994</v>
      </c>
      <c r="Z24" s="1197">
        <v>22447</v>
      </c>
      <c r="AA24" s="1195">
        <f t="shared" si="8"/>
        <v>94.6</v>
      </c>
      <c r="AB24" s="1197">
        <v>21914</v>
      </c>
      <c r="AC24" s="1198">
        <f t="shared" si="9"/>
        <v>92.4</v>
      </c>
      <c r="AD24" s="1199">
        <v>24015</v>
      </c>
      <c r="AE24" s="1194">
        <v>22202</v>
      </c>
      <c r="AF24" s="1195">
        <f t="shared" si="10"/>
        <v>92.5</v>
      </c>
      <c r="AG24" s="1196">
        <v>21438</v>
      </c>
      <c r="AH24" s="1195">
        <f t="shared" si="21"/>
        <v>89.3</v>
      </c>
      <c r="AI24" s="1200">
        <v>17560</v>
      </c>
      <c r="AJ24" s="1195">
        <f t="shared" si="11"/>
        <v>73.099999999999994</v>
      </c>
      <c r="AK24" s="1197">
        <v>21924</v>
      </c>
      <c r="AL24" s="1195">
        <f t="shared" si="12"/>
        <v>91.3</v>
      </c>
      <c r="AM24" s="1201">
        <v>236</v>
      </c>
      <c r="AN24" s="1195">
        <v>0.9827191338746617</v>
      </c>
      <c r="AO24" s="1201">
        <v>318</v>
      </c>
      <c r="AP24" s="1201">
        <v>450</v>
      </c>
      <c r="AQ24" s="1197">
        <v>22265</v>
      </c>
      <c r="AR24" s="1195">
        <f t="shared" si="23"/>
        <v>92.7</v>
      </c>
      <c r="AS24" s="1197">
        <v>21443</v>
      </c>
      <c r="AT24" s="1195">
        <f t="shared" si="13"/>
        <v>89.3</v>
      </c>
      <c r="AU24" s="1197">
        <v>21445</v>
      </c>
      <c r="AV24" s="1198">
        <f t="shared" si="14"/>
        <v>89.3</v>
      </c>
      <c r="AW24" s="1202">
        <v>24168</v>
      </c>
      <c r="AX24" s="1197">
        <v>22120</v>
      </c>
      <c r="AY24" s="1203">
        <f t="shared" si="15"/>
        <v>91.5</v>
      </c>
      <c r="AZ24" s="1197">
        <v>22177</v>
      </c>
      <c r="BA24" s="1203">
        <f t="shared" si="16"/>
        <v>91.8</v>
      </c>
      <c r="BB24" s="1197">
        <v>21997</v>
      </c>
      <c r="BC24" s="1204">
        <f t="shared" si="17"/>
        <v>91</v>
      </c>
      <c r="BD24" s="1205">
        <v>8200</v>
      </c>
      <c r="BE24" s="1197">
        <v>30602</v>
      </c>
      <c r="BF24" s="1206">
        <v>13968</v>
      </c>
      <c r="BG24" s="1205">
        <v>18777</v>
      </c>
      <c r="BH24" s="1207">
        <f t="shared" si="18"/>
        <v>79.099999999999994</v>
      </c>
      <c r="BI24" s="1190" t="s">
        <v>347</v>
      </c>
      <c r="BJ24" s="1191">
        <f t="shared" si="22"/>
        <v>538763</v>
      </c>
    </row>
    <row r="25" spans="1:62" s="1190" customFormat="1" ht="17.100000000000001" customHeight="1" x14ac:dyDescent="0.25">
      <c r="A25" s="1170" t="s">
        <v>264</v>
      </c>
      <c r="B25" s="1208" t="s">
        <v>24</v>
      </c>
      <c r="C25" s="1193">
        <v>10908</v>
      </c>
      <c r="D25" s="1194">
        <v>9145</v>
      </c>
      <c r="E25" s="1195">
        <f t="shared" si="0"/>
        <v>83.8</v>
      </c>
      <c r="F25" s="1196">
        <v>6782</v>
      </c>
      <c r="G25" s="1195">
        <f t="shared" si="1"/>
        <v>62.2</v>
      </c>
      <c r="H25" s="1197">
        <v>10338</v>
      </c>
      <c r="I25" s="1195">
        <f t="shared" si="2"/>
        <v>94.8</v>
      </c>
      <c r="J25" s="1197">
        <v>8981</v>
      </c>
      <c r="K25" s="1195">
        <f t="shared" si="2"/>
        <v>82.3</v>
      </c>
      <c r="L25" s="1197">
        <v>10365</v>
      </c>
      <c r="M25" s="1195">
        <f t="shared" si="3"/>
        <v>95</v>
      </c>
      <c r="N25" s="1197">
        <v>9757</v>
      </c>
      <c r="O25" s="1195">
        <f t="shared" si="4"/>
        <v>89.4</v>
      </c>
      <c r="P25" s="1197">
        <v>8981</v>
      </c>
      <c r="Q25" s="1195">
        <f t="shared" si="5"/>
        <v>82.3</v>
      </c>
      <c r="R25" s="1197">
        <v>8111</v>
      </c>
      <c r="S25" s="1195">
        <f t="shared" si="6"/>
        <v>74.400000000000006</v>
      </c>
      <c r="T25" s="1197">
        <v>8148</v>
      </c>
      <c r="U25" s="1195">
        <f t="shared" si="7"/>
        <v>74.7</v>
      </c>
      <c r="V25" s="1196">
        <v>8545</v>
      </c>
      <c r="W25" s="1195">
        <f t="shared" si="19"/>
        <v>104.4</v>
      </c>
      <c r="X25" s="1191">
        <v>5264</v>
      </c>
      <c r="Y25" s="1195">
        <f t="shared" si="20"/>
        <v>64.3</v>
      </c>
      <c r="Z25" s="1197">
        <v>10254</v>
      </c>
      <c r="AA25" s="1195">
        <f t="shared" si="8"/>
        <v>94</v>
      </c>
      <c r="AB25" s="1197">
        <v>9636</v>
      </c>
      <c r="AC25" s="1198">
        <f t="shared" si="9"/>
        <v>88.3</v>
      </c>
      <c r="AD25" s="1199">
        <v>11728</v>
      </c>
      <c r="AE25" s="1194">
        <v>10994</v>
      </c>
      <c r="AF25" s="1195">
        <f t="shared" si="10"/>
        <v>93.7</v>
      </c>
      <c r="AG25" s="1196">
        <v>10725</v>
      </c>
      <c r="AH25" s="1195">
        <f t="shared" si="21"/>
        <v>91.4</v>
      </c>
      <c r="AI25" s="1200">
        <v>10229</v>
      </c>
      <c r="AJ25" s="1195">
        <f t="shared" si="11"/>
        <v>87.2</v>
      </c>
      <c r="AK25" s="1197">
        <v>10346</v>
      </c>
      <c r="AL25" s="1195">
        <f t="shared" si="12"/>
        <v>88.2</v>
      </c>
      <c r="AM25" s="1201">
        <v>349</v>
      </c>
      <c r="AN25" s="1195">
        <v>2.9757844474761255</v>
      </c>
      <c r="AO25" s="1201">
        <v>842</v>
      </c>
      <c r="AP25" s="1201">
        <v>181</v>
      </c>
      <c r="AQ25" s="1197">
        <v>11005</v>
      </c>
      <c r="AR25" s="1195">
        <f t="shared" si="23"/>
        <v>93.8</v>
      </c>
      <c r="AS25" s="1197">
        <v>7240</v>
      </c>
      <c r="AT25" s="1195">
        <f t="shared" si="13"/>
        <v>61.7</v>
      </c>
      <c r="AU25" s="1197">
        <v>7218</v>
      </c>
      <c r="AV25" s="1198">
        <f t="shared" si="14"/>
        <v>61.5</v>
      </c>
      <c r="AW25" s="1202">
        <v>11104</v>
      </c>
      <c r="AX25" s="1197">
        <v>9010</v>
      </c>
      <c r="AY25" s="1203">
        <f t="shared" si="15"/>
        <v>81.099999999999994</v>
      </c>
      <c r="AZ25" s="1197">
        <v>9010</v>
      </c>
      <c r="BA25" s="1203">
        <f t="shared" si="16"/>
        <v>81.099999999999994</v>
      </c>
      <c r="BB25" s="1197">
        <v>9028</v>
      </c>
      <c r="BC25" s="1204">
        <f t="shared" si="17"/>
        <v>81.3</v>
      </c>
      <c r="BD25" s="1205">
        <v>4397</v>
      </c>
      <c r="BE25" s="1197">
        <v>7069</v>
      </c>
      <c r="BF25" s="1206">
        <v>5324</v>
      </c>
      <c r="BG25" s="1205">
        <v>6376</v>
      </c>
      <c r="BH25" s="1207">
        <f t="shared" si="18"/>
        <v>58.5</v>
      </c>
      <c r="BI25" s="1190" t="s">
        <v>352</v>
      </c>
      <c r="BJ25" s="1191">
        <f t="shared" si="22"/>
        <v>227274</v>
      </c>
    </row>
    <row r="26" spans="1:62" s="1190" customFormat="1" ht="17.100000000000001" customHeight="1" x14ac:dyDescent="0.25">
      <c r="A26" s="1170">
        <v>23</v>
      </c>
      <c r="B26" s="1208" t="s">
        <v>64</v>
      </c>
      <c r="C26" s="1193">
        <v>32530</v>
      </c>
      <c r="D26" s="1194">
        <v>23898</v>
      </c>
      <c r="E26" s="1195">
        <f t="shared" si="0"/>
        <v>73.5</v>
      </c>
      <c r="F26" s="1196">
        <v>23565</v>
      </c>
      <c r="G26" s="1195">
        <f t="shared" si="1"/>
        <v>72.400000000000006</v>
      </c>
      <c r="H26" s="1197">
        <v>28571</v>
      </c>
      <c r="I26" s="1195">
        <f t="shared" si="2"/>
        <v>87.8</v>
      </c>
      <c r="J26" s="1197">
        <v>29312</v>
      </c>
      <c r="K26" s="1195">
        <f t="shared" si="2"/>
        <v>90.1</v>
      </c>
      <c r="L26" s="1197">
        <v>28598</v>
      </c>
      <c r="M26" s="1195">
        <f t="shared" si="3"/>
        <v>87.9</v>
      </c>
      <c r="N26" s="1197">
        <v>28624</v>
      </c>
      <c r="O26" s="1195">
        <f t="shared" si="4"/>
        <v>88</v>
      </c>
      <c r="P26" s="1197">
        <v>29319</v>
      </c>
      <c r="Q26" s="1195">
        <f t="shared" si="5"/>
        <v>90.1</v>
      </c>
      <c r="R26" s="1197">
        <v>27920</v>
      </c>
      <c r="S26" s="1195">
        <f t="shared" si="6"/>
        <v>85.8</v>
      </c>
      <c r="T26" s="1197">
        <v>28068</v>
      </c>
      <c r="U26" s="1195">
        <f t="shared" si="7"/>
        <v>86.3</v>
      </c>
      <c r="V26" s="1196">
        <v>24953</v>
      </c>
      <c r="W26" s="1195">
        <f t="shared" si="19"/>
        <v>102.3</v>
      </c>
      <c r="X26" s="1191">
        <v>16550</v>
      </c>
      <c r="Y26" s="1195">
        <f t="shared" si="20"/>
        <v>67.8</v>
      </c>
      <c r="Z26" s="1197">
        <v>27894</v>
      </c>
      <c r="AA26" s="1195">
        <f t="shared" si="8"/>
        <v>85.7</v>
      </c>
      <c r="AB26" s="1197">
        <v>27781</v>
      </c>
      <c r="AC26" s="1198">
        <f t="shared" si="9"/>
        <v>85.4</v>
      </c>
      <c r="AD26" s="1199">
        <v>32371</v>
      </c>
      <c r="AE26" s="1194">
        <v>28719</v>
      </c>
      <c r="AF26" s="1195">
        <f t="shared" si="10"/>
        <v>88.7</v>
      </c>
      <c r="AG26" s="1196">
        <v>28089</v>
      </c>
      <c r="AH26" s="1195">
        <f t="shared" si="21"/>
        <v>86.8</v>
      </c>
      <c r="AI26" s="1200">
        <v>23385</v>
      </c>
      <c r="AJ26" s="1195">
        <f t="shared" si="11"/>
        <v>72.2</v>
      </c>
      <c r="AK26" s="1197">
        <v>27489</v>
      </c>
      <c r="AL26" s="1195">
        <f t="shared" si="12"/>
        <v>84.9</v>
      </c>
      <c r="AM26" s="1201">
        <v>99</v>
      </c>
      <c r="AN26" s="1195">
        <v>0.30582929164993361</v>
      </c>
      <c r="AO26" s="1201">
        <v>117</v>
      </c>
      <c r="AP26" s="1201">
        <v>202</v>
      </c>
      <c r="AQ26" s="1197">
        <v>28614</v>
      </c>
      <c r="AR26" s="1195">
        <f t="shared" si="23"/>
        <v>88.4</v>
      </c>
      <c r="AS26" s="1197">
        <v>27060</v>
      </c>
      <c r="AT26" s="1195">
        <f t="shared" si="13"/>
        <v>83.6</v>
      </c>
      <c r="AU26" s="1197">
        <v>27005</v>
      </c>
      <c r="AV26" s="1198">
        <f t="shared" si="14"/>
        <v>83.4</v>
      </c>
      <c r="AW26" s="1202">
        <v>32246</v>
      </c>
      <c r="AX26" s="1197">
        <v>29221</v>
      </c>
      <c r="AY26" s="1203">
        <f t="shared" si="15"/>
        <v>90.6</v>
      </c>
      <c r="AZ26" s="1197">
        <v>29134</v>
      </c>
      <c r="BA26" s="1203">
        <f t="shared" si="16"/>
        <v>90.3</v>
      </c>
      <c r="BB26" s="1197">
        <v>29089</v>
      </c>
      <c r="BC26" s="1204">
        <f t="shared" si="17"/>
        <v>90.2</v>
      </c>
      <c r="BD26" s="1205">
        <v>14154</v>
      </c>
      <c r="BE26" s="1197">
        <v>19184</v>
      </c>
      <c r="BF26" s="1206">
        <v>20746</v>
      </c>
      <c r="BG26" s="1205">
        <v>22180</v>
      </c>
      <c r="BH26" s="1207">
        <f t="shared" si="18"/>
        <v>68.2</v>
      </c>
      <c r="BI26" s="1190" t="s">
        <v>347</v>
      </c>
      <c r="BJ26" s="1191">
        <f t="shared" si="22"/>
        <v>677360</v>
      </c>
    </row>
    <row r="27" spans="1:62" s="1190" customFormat="1" ht="17.100000000000001" customHeight="1" x14ac:dyDescent="0.25">
      <c r="A27" s="1170">
        <v>25</v>
      </c>
      <c r="B27" s="1208" t="s">
        <v>122</v>
      </c>
      <c r="C27" s="1193">
        <v>37799</v>
      </c>
      <c r="D27" s="1194">
        <v>18528</v>
      </c>
      <c r="E27" s="1195">
        <f t="shared" si="0"/>
        <v>49</v>
      </c>
      <c r="F27" s="1196">
        <v>18396</v>
      </c>
      <c r="G27" s="1195">
        <f t="shared" si="1"/>
        <v>48.7</v>
      </c>
      <c r="H27" s="1197">
        <v>31565</v>
      </c>
      <c r="I27" s="1195">
        <f t="shared" si="2"/>
        <v>83.5</v>
      </c>
      <c r="J27" s="1197">
        <v>32219</v>
      </c>
      <c r="K27" s="1195">
        <f t="shared" si="2"/>
        <v>85.2</v>
      </c>
      <c r="L27" s="1197">
        <v>31616</v>
      </c>
      <c r="M27" s="1195">
        <f t="shared" si="3"/>
        <v>83.6</v>
      </c>
      <c r="N27" s="1197">
        <v>32132</v>
      </c>
      <c r="O27" s="1195">
        <f t="shared" si="4"/>
        <v>85</v>
      </c>
      <c r="P27" s="1197">
        <v>32259</v>
      </c>
      <c r="Q27" s="1195">
        <f t="shared" si="5"/>
        <v>85.3</v>
      </c>
      <c r="R27" s="1197">
        <v>31325</v>
      </c>
      <c r="S27" s="1195">
        <f t="shared" si="6"/>
        <v>82.9</v>
      </c>
      <c r="T27" s="1197">
        <v>31911</v>
      </c>
      <c r="U27" s="1195">
        <f t="shared" si="7"/>
        <v>84.4</v>
      </c>
      <c r="V27" s="1196">
        <v>26665</v>
      </c>
      <c r="W27" s="1195">
        <f t="shared" si="19"/>
        <v>94.1</v>
      </c>
      <c r="X27" s="1191">
        <v>18229</v>
      </c>
      <c r="Y27" s="1195">
        <f t="shared" si="20"/>
        <v>64.3</v>
      </c>
      <c r="Z27" s="1197">
        <v>31468</v>
      </c>
      <c r="AA27" s="1195">
        <f t="shared" si="8"/>
        <v>83.3</v>
      </c>
      <c r="AB27" s="1197">
        <v>32012</v>
      </c>
      <c r="AC27" s="1198">
        <f t="shared" si="9"/>
        <v>84.7</v>
      </c>
      <c r="AD27" s="1199">
        <v>39124</v>
      </c>
      <c r="AE27" s="1194">
        <v>32740</v>
      </c>
      <c r="AF27" s="1195">
        <f t="shared" si="10"/>
        <v>83.7</v>
      </c>
      <c r="AG27" s="1196">
        <v>32366</v>
      </c>
      <c r="AH27" s="1195">
        <f t="shared" si="21"/>
        <v>82.7</v>
      </c>
      <c r="AI27" s="1200">
        <v>27313</v>
      </c>
      <c r="AJ27" s="1195">
        <f t="shared" si="11"/>
        <v>69.8</v>
      </c>
      <c r="AK27" s="1197">
        <v>32469</v>
      </c>
      <c r="AL27" s="1195">
        <f t="shared" si="12"/>
        <v>83</v>
      </c>
      <c r="AM27" s="1201">
        <v>123</v>
      </c>
      <c r="AN27" s="1195">
        <v>0.31438503220529601</v>
      </c>
      <c r="AO27" s="1201">
        <v>50</v>
      </c>
      <c r="AP27" s="1201">
        <v>185</v>
      </c>
      <c r="AQ27" s="1197">
        <v>32747</v>
      </c>
      <c r="AR27" s="1195">
        <f t="shared" si="23"/>
        <v>83.7</v>
      </c>
      <c r="AS27" s="1197">
        <v>32011</v>
      </c>
      <c r="AT27" s="1195">
        <f t="shared" si="13"/>
        <v>81.8</v>
      </c>
      <c r="AU27" s="1197">
        <v>32009</v>
      </c>
      <c r="AV27" s="1198">
        <f t="shared" si="14"/>
        <v>81.8</v>
      </c>
      <c r="AW27" s="1202">
        <v>41481</v>
      </c>
      <c r="AX27" s="1197">
        <v>32926</v>
      </c>
      <c r="AY27" s="1203">
        <f t="shared" si="15"/>
        <v>79.400000000000006</v>
      </c>
      <c r="AZ27" s="1197">
        <v>32896</v>
      </c>
      <c r="BA27" s="1203">
        <f t="shared" si="16"/>
        <v>79.3</v>
      </c>
      <c r="BB27" s="1197">
        <v>32655</v>
      </c>
      <c r="BC27" s="1204">
        <f t="shared" si="17"/>
        <v>78.7</v>
      </c>
      <c r="BD27" s="1205">
        <v>18400</v>
      </c>
      <c r="BE27" s="1197">
        <v>74004</v>
      </c>
      <c r="BF27" s="1206">
        <v>15386</v>
      </c>
      <c r="BG27" s="1205">
        <v>24111</v>
      </c>
      <c r="BH27" s="1207">
        <f t="shared" si="18"/>
        <v>63.8</v>
      </c>
      <c r="BI27" s="1190" t="s">
        <v>345</v>
      </c>
      <c r="BJ27" s="1191">
        <f t="shared" si="22"/>
        <v>796605</v>
      </c>
    </row>
    <row r="28" spans="1:62" s="1190" customFormat="1" ht="17.100000000000001" customHeight="1" x14ac:dyDescent="0.25">
      <c r="A28" s="1170">
        <v>94</v>
      </c>
      <c r="B28" s="1208" t="s">
        <v>65</v>
      </c>
      <c r="C28" s="1193">
        <v>781</v>
      </c>
      <c r="D28" s="1194">
        <v>960</v>
      </c>
      <c r="E28" s="1195">
        <f t="shared" si="0"/>
        <v>122.9</v>
      </c>
      <c r="F28" s="1196">
        <v>776</v>
      </c>
      <c r="G28" s="1195">
        <f t="shared" si="1"/>
        <v>99.4</v>
      </c>
      <c r="H28" s="1197">
        <v>942</v>
      </c>
      <c r="I28" s="1195">
        <f t="shared" si="2"/>
        <v>120.6</v>
      </c>
      <c r="J28" s="1197">
        <v>718</v>
      </c>
      <c r="K28" s="1195">
        <f t="shared" si="2"/>
        <v>91.9</v>
      </c>
      <c r="L28" s="1197">
        <v>940</v>
      </c>
      <c r="M28" s="1195">
        <f t="shared" si="3"/>
        <v>120.4</v>
      </c>
      <c r="N28" s="1197">
        <v>824</v>
      </c>
      <c r="O28" s="1195">
        <f t="shared" si="4"/>
        <v>105.5</v>
      </c>
      <c r="P28" s="1197">
        <v>712</v>
      </c>
      <c r="Q28" s="1195">
        <f t="shared" si="5"/>
        <v>91.2</v>
      </c>
      <c r="R28" s="1197">
        <v>748</v>
      </c>
      <c r="S28" s="1195">
        <f t="shared" si="6"/>
        <v>95.8</v>
      </c>
      <c r="T28" s="1197">
        <v>652</v>
      </c>
      <c r="U28" s="1195">
        <f t="shared" si="7"/>
        <v>83.5</v>
      </c>
      <c r="V28" s="1196">
        <v>409</v>
      </c>
      <c r="W28" s="1195">
        <f t="shared" si="19"/>
        <v>69.8</v>
      </c>
      <c r="X28" s="1191">
        <v>292</v>
      </c>
      <c r="Y28" s="1195">
        <f t="shared" si="20"/>
        <v>49.9</v>
      </c>
      <c r="Z28" s="1197">
        <v>951</v>
      </c>
      <c r="AA28" s="1195">
        <f t="shared" si="8"/>
        <v>121.8</v>
      </c>
      <c r="AB28" s="1197">
        <v>811</v>
      </c>
      <c r="AC28" s="1198">
        <f t="shared" si="9"/>
        <v>103.8</v>
      </c>
      <c r="AD28" s="1199">
        <v>853</v>
      </c>
      <c r="AE28" s="1194">
        <v>866</v>
      </c>
      <c r="AF28" s="1195">
        <f t="shared" si="10"/>
        <v>101.5</v>
      </c>
      <c r="AG28" s="1196">
        <v>836</v>
      </c>
      <c r="AH28" s="1195">
        <f t="shared" si="21"/>
        <v>98</v>
      </c>
      <c r="AI28" s="1200">
        <v>933</v>
      </c>
      <c r="AJ28" s="1195">
        <f t="shared" si="11"/>
        <v>109.4</v>
      </c>
      <c r="AK28" s="1197">
        <v>821</v>
      </c>
      <c r="AL28" s="1195">
        <f t="shared" si="12"/>
        <v>96.2</v>
      </c>
      <c r="AM28" s="1201">
        <v>42</v>
      </c>
      <c r="AN28" s="1195">
        <v>4.9237983587338805</v>
      </c>
      <c r="AO28" s="1201">
        <v>58</v>
      </c>
      <c r="AP28" s="1201">
        <v>54</v>
      </c>
      <c r="AQ28" s="1197">
        <v>866</v>
      </c>
      <c r="AR28" s="1195">
        <f t="shared" si="23"/>
        <v>101.5</v>
      </c>
      <c r="AS28" s="1197">
        <v>533</v>
      </c>
      <c r="AT28" s="1195">
        <f t="shared" si="13"/>
        <v>62.5</v>
      </c>
      <c r="AU28" s="1197">
        <v>533</v>
      </c>
      <c r="AV28" s="1198">
        <f t="shared" si="14"/>
        <v>62.5</v>
      </c>
      <c r="AW28" s="1202">
        <v>896</v>
      </c>
      <c r="AX28" s="1197">
        <v>816</v>
      </c>
      <c r="AY28" s="1203">
        <f t="shared" si="15"/>
        <v>91.1</v>
      </c>
      <c r="AZ28" s="1197">
        <v>820</v>
      </c>
      <c r="BA28" s="1203">
        <f t="shared" si="16"/>
        <v>91.5</v>
      </c>
      <c r="BB28" s="1197">
        <v>834</v>
      </c>
      <c r="BC28" s="1204">
        <f t="shared" si="17"/>
        <v>93.1</v>
      </c>
      <c r="BD28" s="1205">
        <v>624</v>
      </c>
      <c r="BE28" s="1197">
        <v>1371</v>
      </c>
      <c r="BF28" s="1206">
        <v>395</v>
      </c>
      <c r="BG28" s="1205">
        <v>501</v>
      </c>
      <c r="BH28" s="1207">
        <f t="shared" si="18"/>
        <v>64.099999999999994</v>
      </c>
      <c r="BI28" s="1190" t="s">
        <v>344</v>
      </c>
      <c r="BJ28" s="1191">
        <f t="shared" si="22"/>
        <v>20137</v>
      </c>
    </row>
    <row r="29" spans="1:62" s="1190" customFormat="1" ht="17.100000000000001" customHeight="1" x14ac:dyDescent="0.25">
      <c r="A29" s="1170">
        <v>95</v>
      </c>
      <c r="B29" s="1192" t="s">
        <v>26</v>
      </c>
      <c r="C29" s="1193">
        <v>1398</v>
      </c>
      <c r="D29" s="1194">
        <v>1215</v>
      </c>
      <c r="E29" s="1195">
        <f t="shared" si="0"/>
        <v>86.9</v>
      </c>
      <c r="F29" s="1196">
        <v>1181</v>
      </c>
      <c r="G29" s="1195">
        <f t="shared" si="1"/>
        <v>84.5</v>
      </c>
      <c r="H29" s="1197">
        <v>1233</v>
      </c>
      <c r="I29" s="1195">
        <f t="shared" si="2"/>
        <v>88.2</v>
      </c>
      <c r="J29" s="1197">
        <v>1213</v>
      </c>
      <c r="K29" s="1195">
        <f t="shared" si="2"/>
        <v>86.8</v>
      </c>
      <c r="L29" s="1197">
        <v>1233</v>
      </c>
      <c r="M29" s="1195">
        <f t="shared" si="3"/>
        <v>88.2</v>
      </c>
      <c r="N29" s="1197">
        <v>1263</v>
      </c>
      <c r="O29" s="1195">
        <f t="shared" si="4"/>
        <v>90.3</v>
      </c>
      <c r="P29" s="1197">
        <v>1214</v>
      </c>
      <c r="Q29" s="1195">
        <f t="shared" si="5"/>
        <v>86.8</v>
      </c>
      <c r="R29" s="1197">
        <v>1182</v>
      </c>
      <c r="S29" s="1195">
        <f t="shared" si="6"/>
        <v>84.5</v>
      </c>
      <c r="T29" s="1197">
        <v>1225</v>
      </c>
      <c r="U29" s="1195">
        <f t="shared" si="7"/>
        <v>87.6</v>
      </c>
      <c r="V29" s="1196">
        <v>697</v>
      </c>
      <c r="W29" s="1195">
        <f t="shared" si="19"/>
        <v>66.5</v>
      </c>
      <c r="X29" s="1191">
        <v>520</v>
      </c>
      <c r="Y29" s="1195">
        <f t="shared" si="20"/>
        <v>49.6</v>
      </c>
      <c r="Z29" s="1197">
        <v>1237</v>
      </c>
      <c r="AA29" s="1195">
        <f t="shared" si="8"/>
        <v>88.5</v>
      </c>
      <c r="AB29" s="1197">
        <v>1269</v>
      </c>
      <c r="AC29" s="1198">
        <f t="shared" si="9"/>
        <v>90.8</v>
      </c>
      <c r="AD29" s="1199">
        <v>1516</v>
      </c>
      <c r="AE29" s="1194">
        <v>1319</v>
      </c>
      <c r="AF29" s="1195">
        <f t="shared" si="10"/>
        <v>87</v>
      </c>
      <c r="AG29" s="1196">
        <v>1300</v>
      </c>
      <c r="AH29" s="1195">
        <f t="shared" si="21"/>
        <v>85.8</v>
      </c>
      <c r="AI29" s="1200">
        <v>1683</v>
      </c>
      <c r="AJ29" s="1195">
        <f t="shared" si="11"/>
        <v>111</v>
      </c>
      <c r="AK29" s="1197">
        <v>1318</v>
      </c>
      <c r="AL29" s="1195">
        <f t="shared" si="12"/>
        <v>86.9</v>
      </c>
      <c r="AM29" s="1201">
        <v>5</v>
      </c>
      <c r="AN29" s="1195">
        <v>0.32981530343007914</v>
      </c>
      <c r="AO29" s="1201">
        <v>4</v>
      </c>
      <c r="AP29" s="1201">
        <v>6</v>
      </c>
      <c r="AQ29" s="1197">
        <v>1319</v>
      </c>
      <c r="AR29" s="1195">
        <f t="shared" si="23"/>
        <v>87</v>
      </c>
      <c r="AS29" s="1197">
        <v>1227</v>
      </c>
      <c r="AT29" s="1195">
        <f t="shared" si="13"/>
        <v>80.900000000000006</v>
      </c>
      <c r="AU29" s="1197">
        <v>1227</v>
      </c>
      <c r="AV29" s="1198">
        <f t="shared" si="14"/>
        <v>80.900000000000006</v>
      </c>
      <c r="AW29" s="1202">
        <v>1699</v>
      </c>
      <c r="AX29" s="1197">
        <v>1479</v>
      </c>
      <c r="AY29" s="1203">
        <f t="shared" si="15"/>
        <v>87.1</v>
      </c>
      <c r="AZ29" s="1197">
        <v>1479</v>
      </c>
      <c r="BA29" s="1203">
        <f t="shared" si="16"/>
        <v>87.1</v>
      </c>
      <c r="BB29" s="1197">
        <v>1481</v>
      </c>
      <c r="BC29" s="1204">
        <f t="shared" si="17"/>
        <v>87.2</v>
      </c>
      <c r="BD29" s="1205">
        <v>501</v>
      </c>
      <c r="BE29" s="1197">
        <v>1756</v>
      </c>
      <c r="BF29" s="1206">
        <v>721</v>
      </c>
      <c r="BG29" s="1205">
        <v>1004</v>
      </c>
      <c r="BH29" s="1207">
        <f t="shared" si="18"/>
        <v>71.8</v>
      </c>
      <c r="BI29" s="1190" t="s">
        <v>344</v>
      </c>
      <c r="BJ29" s="1191">
        <f t="shared" si="22"/>
        <v>31507</v>
      </c>
    </row>
    <row r="30" spans="1:62" s="1190" customFormat="1" ht="17.100000000000001" customHeight="1" x14ac:dyDescent="0.25">
      <c r="A30" s="1170">
        <v>41</v>
      </c>
      <c r="B30" s="1192" t="s">
        <v>27</v>
      </c>
      <c r="C30" s="1193">
        <v>20719</v>
      </c>
      <c r="D30" s="1194">
        <v>19950</v>
      </c>
      <c r="E30" s="1195">
        <f t="shared" si="0"/>
        <v>96.3</v>
      </c>
      <c r="F30" s="1196">
        <v>19905</v>
      </c>
      <c r="G30" s="1195">
        <f t="shared" si="1"/>
        <v>96.1</v>
      </c>
      <c r="H30" s="1197">
        <v>19374</v>
      </c>
      <c r="I30" s="1195">
        <f t="shared" si="2"/>
        <v>93.5</v>
      </c>
      <c r="J30" s="1197">
        <v>18940</v>
      </c>
      <c r="K30" s="1195">
        <f t="shared" si="2"/>
        <v>91.4</v>
      </c>
      <c r="L30" s="1197">
        <v>19432</v>
      </c>
      <c r="M30" s="1195">
        <f t="shared" si="3"/>
        <v>93.8</v>
      </c>
      <c r="N30" s="1197">
        <v>19192</v>
      </c>
      <c r="O30" s="1195">
        <f t="shared" si="4"/>
        <v>92.6</v>
      </c>
      <c r="P30" s="1197">
        <v>18933</v>
      </c>
      <c r="Q30" s="1195">
        <f t="shared" si="5"/>
        <v>91.4</v>
      </c>
      <c r="R30" s="1197">
        <v>19199</v>
      </c>
      <c r="S30" s="1195">
        <f t="shared" si="6"/>
        <v>92.7</v>
      </c>
      <c r="T30" s="1197">
        <v>19015</v>
      </c>
      <c r="U30" s="1195">
        <f t="shared" si="7"/>
        <v>91.8</v>
      </c>
      <c r="V30" s="1196">
        <v>15960</v>
      </c>
      <c r="W30" s="1195">
        <f t="shared" si="19"/>
        <v>102.7</v>
      </c>
      <c r="X30" s="1191">
        <v>11921</v>
      </c>
      <c r="Y30" s="1195">
        <f t="shared" si="20"/>
        <v>76.7</v>
      </c>
      <c r="Z30" s="1197">
        <v>19427</v>
      </c>
      <c r="AA30" s="1195">
        <f t="shared" si="8"/>
        <v>93.8</v>
      </c>
      <c r="AB30" s="1197">
        <v>19187</v>
      </c>
      <c r="AC30" s="1198">
        <f t="shared" si="9"/>
        <v>92.6</v>
      </c>
      <c r="AD30" s="1199">
        <v>21071</v>
      </c>
      <c r="AE30" s="1194">
        <v>19174</v>
      </c>
      <c r="AF30" s="1195">
        <f t="shared" si="10"/>
        <v>91</v>
      </c>
      <c r="AG30" s="1196">
        <v>18817</v>
      </c>
      <c r="AH30" s="1195">
        <f t="shared" si="21"/>
        <v>89.3</v>
      </c>
      <c r="AI30" s="1200">
        <v>16513</v>
      </c>
      <c r="AJ30" s="1195">
        <f t="shared" si="11"/>
        <v>78.400000000000006</v>
      </c>
      <c r="AK30" s="1197">
        <v>19081</v>
      </c>
      <c r="AL30" s="1195">
        <f t="shared" si="12"/>
        <v>90.6</v>
      </c>
      <c r="AM30" s="1201">
        <v>19</v>
      </c>
      <c r="AN30" s="1195">
        <v>9.0171325518485113E-2</v>
      </c>
      <c r="AO30" s="1201">
        <v>76</v>
      </c>
      <c r="AP30" s="1201">
        <v>77</v>
      </c>
      <c r="AQ30" s="1197">
        <v>19178</v>
      </c>
      <c r="AR30" s="1195">
        <f t="shared" si="23"/>
        <v>91</v>
      </c>
      <c r="AS30" s="1197">
        <v>18290</v>
      </c>
      <c r="AT30" s="1195">
        <f t="shared" si="13"/>
        <v>86.8</v>
      </c>
      <c r="AU30" s="1197">
        <v>18287</v>
      </c>
      <c r="AV30" s="1198">
        <f t="shared" si="14"/>
        <v>86.8</v>
      </c>
      <c r="AW30" s="1202">
        <v>20510</v>
      </c>
      <c r="AX30" s="1197">
        <v>18909</v>
      </c>
      <c r="AY30" s="1203">
        <f t="shared" si="15"/>
        <v>92.2</v>
      </c>
      <c r="AZ30" s="1197">
        <v>18899</v>
      </c>
      <c r="BA30" s="1203">
        <f t="shared" si="16"/>
        <v>92.1</v>
      </c>
      <c r="BB30" s="1197">
        <v>18914</v>
      </c>
      <c r="BC30" s="1204">
        <f t="shared" si="17"/>
        <v>92.2</v>
      </c>
      <c r="BD30" s="1205">
        <v>5344</v>
      </c>
      <c r="BE30" s="1197">
        <v>33419</v>
      </c>
      <c r="BF30" s="1206">
        <v>13513</v>
      </c>
      <c r="BG30" s="1205">
        <v>16957</v>
      </c>
      <c r="BH30" s="1207">
        <f t="shared" si="18"/>
        <v>81.8</v>
      </c>
      <c r="BI30" s="1190" t="s">
        <v>345</v>
      </c>
      <c r="BJ30" s="1191">
        <f t="shared" si="22"/>
        <v>478945</v>
      </c>
    </row>
    <row r="31" spans="1:62" s="1190" customFormat="1" ht="17.100000000000001" customHeight="1" x14ac:dyDescent="0.25">
      <c r="A31" s="1170">
        <v>44</v>
      </c>
      <c r="B31" s="1192" t="s">
        <v>124</v>
      </c>
      <c r="C31" s="1193">
        <v>20984</v>
      </c>
      <c r="D31" s="1194">
        <v>18344</v>
      </c>
      <c r="E31" s="1195">
        <f t="shared" si="0"/>
        <v>87.4</v>
      </c>
      <c r="F31" s="1196">
        <v>16498</v>
      </c>
      <c r="G31" s="1195">
        <f t="shared" si="1"/>
        <v>78.599999999999994</v>
      </c>
      <c r="H31" s="1197">
        <v>19252</v>
      </c>
      <c r="I31" s="1195">
        <f t="shared" si="2"/>
        <v>91.7</v>
      </c>
      <c r="J31" s="1197">
        <v>16827</v>
      </c>
      <c r="K31" s="1195">
        <f t="shared" si="2"/>
        <v>80.2</v>
      </c>
      <c r="L31" s="1197">
        <v>19322</v>
      </c>
      <c r="M31" s="1195">
        <f t="shared" si="3"/>
        <v>92.1</v>
      </c>
      <c r="N31" s="1197">
        <v>17577</v>
      </c>
      <c r="O31" s="1195">
        <f t="shared" si="4"/>
        <v>83.8</v>
      </c>
      <c r="P31" s="1197">
        <v>16830</v>
      </c>
      <c r="Q31" s="1195">
        <f t="shared" si="5"/>
        <v>80.2</v>
      </c>
      <c r="R31" s="1197">
        <v>16601</v>
      </c>
      <c r="S31" s="1195">
        <f t="shared" si="6"/>
        <v>79.099999999999994</v>
      </c>
      <c r="T31" s="1197">
        <v>15802</v>
      </c>
      <c r="U31" s="1195">
        <f t="shared" si="7"/>
        <v>75.3</v>
      </c>
      <c r="V31" s="1196">
        <v>14935</v>
      </c>
      <c r="W31" s="1195">
        <f t="shared" si="19"/>
        <v>94.9</v>
      </c>
      <c r="X31" s="1191">
        <v>9322</v>
      </c>
      <c r="Y31" s="1195">
        <f t="shared" si="20"/>
        <v>59.2</v>
      </c>
      <c r="Z31" s="1197">
        <v>18364</v>
      </c>
      <c r="AA31" s="1195">
        <f t="shared" si="8"/>
        <v>87.5</v>
      </c>
      <c r="AB31" s="1197">
        <v>16448</v>
      </c>
      <c r="AC31" s="1198">
        <f t="shared" si="9"/>
        <v>78.400000000000006</v>
      </c>
      <c r="AD31" s="1199">
        <v>21108</v>
      </c>
      <c r="AE31" s="1194">
        <v>18825</v>
      </c>
      <c r="AF31" s="1195">
        <f t="shared" si="10"/>
        <v>89.2</v>
      </c>
      <c r="AG31" s="1196">
        <v>18589</v>
      </c>
      <c r="AH31" s="1195">
        <f t="shared" si="21"/>
        <v>88.1</v>
      </c>
      <c r="AI31" s="1200">
        <v>11865</v>
      </c>
      <c r="AJ31" s="1195">
        <f t="shared" si="11"/>
        <v>56.2</v>
      </c>
      <c r="AK31" s="1197">
        <v>17216</v>
      </c>
      <c r="AL31" s="1195">
        <f t="shared" si="12"/>
        <v>81.599999999999994</v>
      </c>
      <c r="AM31" s="1201">
        <v>527</v>
      </c>
      <c r="AN31" s="1195">
        <v>2.4966837218116353</v>
      </c>
      <c r="AO31" s="1201">
        <v>685</v>
      </c>
      <c r="AP31" s="1201">
        <v>1329</v>
      </c>
      <c r="AQ31" s="1197">
        <v>18874</v>
      </c>
      <c r="AR31" s="1195">
        <f t="shared" si="23"/>
        <v>89.4</v>
      </c>
      <c r="AS31" s="1197">
        <v>14016</v>
      </c>
      <c r="AT31" s="1195">
        <f t="shared" si="13"/>
        <v>66.400000000000006</v>
      </c>
      <c r="AU31" s="1197">
        <v>14004</v>
      </c>
      <c r="AV31" s="1198">
        <f t="shared" si="14"/>
        <v>66.3</v>
      </c>
      <c r="AW31" s="1202">
        <v>20623</v>
      </c>
      <c r="AX31" s="1197">
        <v>16384</v>
      </c>
      <c r="AY31" s="1203">
        <f t="shared" si="15"/>
        <v>79.400000000000006</v>
      </c>
      <c r="AZ31" s="1197">
        <v>16379</v>
      </c>
      <c r="BA31" s="1203">
        <f t="shared" si="16"/>
        <v>79.400000000000006</v>
      </c>
      <c r="BB31" s="1197">
        <v>16367</v>
      </c>
      <c r="BC31" s="1204">
        <f t="shared" si="17"/>
        <v>79.400000000000006</v>
      </c>
      <c r="BD31" s="1205">
        <v>1476</v>
      </c>
      <c r="BE31" s="1197">
        <v>8539</v>
      </c>
      <c r="BF31" s="1206">
        <v>10849</v>
      </c>
      <c r="BG31" s="1205">
        <v>12975</v>
      </c>
      <c r="BH31" s="1207">
        <f t="shared" si="18"/>
        <v>61.8</v>
      </c>
      <c r="BI31" s="1190" t="s">
        <v>347</v>
      </c>
      <c r="BJ31" s="1191">
        <f t="shared" si="22"/>
        <v>402046</v>
      </c>
    </row>
    <row r="32" spans="1:62" s="1190" customFormat="1" ht="17.100000000000001" customHeight="1" x14ac:dyDescent="0.25">
      <c r="A32" s="1170">
        <v>47</v>
      </c>
      <c r="B32" s="1192" t="s">
        <v>28</v>
      </c>
      <c r="C32" s="1193">
        <v>17776</v>
      </c>
      <c r="D32" s="1194">
        <v>13323</v>
      </c>
      <c r="E32" s="1195">
        <f t="shared" si="0"/>
        <v>74.900000000000006</v>
      </c>
      <c r="F32" s="1196">
        <v>13076</v>
      </c>
      <c r="G32" s="1195">
        <f t="shared" si="1"/>
        <v>73.599999999999994</v>
      </c>
      <c r="H32" s="1197">
        <v>16325</v>
      </c>
      <c r="I32" s="1195">
        <f t="shared" si="2"/>
        <v>91.8</v>
      </c>
      <c r="J32" s="1197">
        <v>16259</v>
      </c>
      <c r="K32" s="1195">
        <f t="shared" si="2"/>
        <v>91.5</v>
      </c>
      <c r="L32" s="1197">
        <v>16327</v>
      </c>
      <c r="M32" s="1195">
        <f t="shared" si="3"/>
        <v>91.8</v>
      </c>
      <c r="N32" s="1197">
        <v>16408</v>
      </c>
      <c r="O32" s="1195">
        <f t="shared" si="4"/>
        <v>92.3</v>
      </c>
      <c r="P32" s="1197">
        <v>16288</v>
      </c>
      <c r="Q32" s="1195">
        <f t="shared" si="5"/>
        <v>91.6</v>
      </c>
      <c r="R32" s="1197">
        <v>15876</v>
      </c>
      <c r="S32" s="1195">
        <f t="shared" si="6"/>
        <v>89.3</v>
      </c>
      <c r="T32" s="1197">
        <v>16135</v>
      </c>
      <c r="U32" s="1195">
        <f t="shared" si="7"/>
        <v>90.8</v>
      </c>
      <c r="V32" s="1196">
        <v>12201</v>
      </c>
      <c r="W32" s="1195">
        <f t="shared" si="19"/>
        <v>91.5</v>
      </c>
      <c r="X32" s="1191">
        <v>8473</v>
      </c>
      <c r="Y32" s="1195">
        <f t="shared" si="20"/>
        <v>63.6</v>
      </c>
      <c r="Z32" s="1197">
        <v>16353</v>
      </c>
      <c r="AA32" s="1195">
        <f t="shared" si="8"/>
        <v>92</v>
      </c>
      <c r="AB32" s="1197">
        <v>16408</v>
      </c>
      <c r="AC32" s="1198">
        <f t="shared" si="9"/>
        <v>92.3</v>
      </c>
      <c r="AD32" s="1199">
        <v>18085</v>
      </c>
      <c r="AE32" s="1194">
        <v>17109</v>
      </c>
      <c r="AF32" s="1195">
        <f t="shared" si="10"/>
        <v>94.6</v>
      </c>
      <c r="AG32" s="1196">
        <v>16799</v>
      </c>
      <c r="AH32" s="1195">
        <f t="shared" si="21"/>
        <v>92.9</v>
      </c>
      <c r="AI32" s="1200">
        <v>14574</v>
      </c>
      <c r="AJ32" s="1195">
        <f t="shared" si="11"/>
        <v>80.599999999999994</v>
      </c>
      <c r="AK32" s="1197">
        <v>17010</v>
      </c>
      <c r="AL32" s="1195">
        <f t="shared" si="12"/>
        <v>94.1</v>
      </c>
      <c r="AM32" s="1201">
        <v>106</v>
      </c>
      <c r="AN32" s="1195">
        <v>0.58612109482996966</v>
      </c>
      <c r="AO32" s="1201">
        <v>151</v>
      </c>
      <c r="AP32" s="1201">
        <v>230</v>
      </c>
      <c r="AQ32" s="1197">
        <v>17118</v>
      </c>
      <c r="AR32" s="1195">
        <f t="shared" si="23"/>
        <v>94.7</v>
      </c>
      <c r="AS32" s="1197">
        <v>16884</v>
      </c>
      <c r="AT32" s="1195">
        <f t="shared" si="13"/>
        <v>93.4</v>
      </c>
      <c r="AU32" s="1197">
        <v>16891</v>
      </c>
      <c r="AV32" s="1198">
        <f t="shared" si="14"/>
        <v>93.4</v>
      </c>
      <c r="AW32" s="1202">
        <v>18541</v>
      </c>
      <c r="AX32" s="1197">
        <v>17398</v>
      </c>
      <c r="AY32" s="1203">
        <f t="shared" si="15"/>
        <v>93.8</v>
      </c>
      <c r="AZ32" s="1197">
        <v>17402</v>
      </c>
      <c r="BA32" s="1203">
        <f t="shared" si="16"/>
        <v>93.9</v>
      </c>
      <c r="BB32" s="1197">
        <v>17458</v>
      </c>
      <c r="BC32" s="1204">
        <f t="shared" si="17"/>
        <v>94.2</v>
      </c>
      <c r="BD32" s="1205">
        <v>3598</v>
      </c>
      <c r="BE32" s="1197">
        <v>17864</v>
      </c>
      <c r="BF32" s="1206">
        <v>9776</v>
      </c>
      <c r="BG32" s="1205">
        <v>12245</v>
      </c>
      <c r="BH32" s="1207">
        <f t="shared" si="18"/>
        <v>68.900000000000006</v>
      </c>
      <c r="BI32" s="1190" t="s">
        <v>347</v>
      </c>
      <c r="BJ32" s="1191">
        <f t="shared" si="22"/>
        <v>393820</v>
      </c>
    </row>
    <row r="33" spans="1:62" s="1190" customFormat="1" ht="17.100000000000001" customHeight="1" x14ac:dyDescent="0.25">
      <c r="A33" s="1170">
        <v>47001</v>
      </c>
      <c r="B33" s="1209" t="s">
        <v>127</v>
      </c>
      <c r="C33" s="1193">
        <v>9061</v>
      </c>
      <c r="D33" s="1194">
        <v>9296</v>
      </c>
      <c r="E33" s="1195">
        <f t="shared" si="0"/>
        <v>102.6</v>
      </c>
      <c r="F33" s="1196">
        <v>9224</v>
      </c>
      <c r="G33" s="1195">
        <f t="shared" si="1"/>
        <v>101.8</v>
      </c>
      <c r="H33" s="1197">
        <v>8676</v>
      </c>
      <c r="I33" s="1195">
        <f t="shared" si="2"/>
        <v>95.8</v>
      </c>
      <c r="J33" s="1197">
        <v>7895</v>
      </c>
      <c r="K33" s="1195">
        <f t="shared" si="2"/>
        <v>87.1</v>
      </c>
      <c r="L33" s="1197">
        <v>8685</v>
      </c>
      <c r="M33" s="1195">
        <f t="shared" si="3"/>
        <v>95.9</v>
      </c>
      <c r="N33" s="1197">
        <v>8362</v>
      </c>
      <c r="O33" s="1195">
        <f t="shared" si="4"/>
        <v>92.3</v>
      </c>
      <c r="P33" s="1197">
        <v>7902</v>
      </c>
      <c r="Q33" s="1195">
        <f t="shared" si="5"/>
        <v>87.2</v>
      </c>
      <c r="R33" s="1197">
        <v>8201</v>
      </c>
      <c r="S33" s="1195">
        <f t="shared" si="6"/>
        <v>90.5</v>
      </c>
      <c r="T33" s="1197">
        <v>8019</v>
      </c>
      <c r="U33" s="1195">
        <f t="shared" si="7"/>
        <v>88.5</v>
      </c>
      <c r="V33" s="1196">
        <v>7418</v>
      </c>
      <c r="W33" s="1195">
        <f t="shared" si="19"/>
        <v>109.2</v>
      </c>
      <c r="X33" s="1191">
        <v>4951</v>
      </c>
      <c r="Y33" s="1195">
        <f t="shared" si="20"/>
        <v>72.900000000000006</v>
      </c>
      <c r="Z33" s="1197">
        <v>8579</v>
      </c>
      <c r="AA33" s="1195">
        <f t="shared" si="8"/>
        <v>94.7</v>
      </c>
      <c r="AB33" s="1197">
        <v>8237</v>
      </c>
      <c r="AC33" s="1198">
        <f t="shared" si="9"/>
        <v>90.9</v>
      </c>
      <c r="AD33" s="1199">
        <v>9036</v>
      </c>
      <c r="AE33" s="1194">
        <v>8413</v>
      </c>
      <c r="AF33" s="1195">
        <f t="shared" si="10"/>
        <v>93.1</v>
      </c>
      <c r="AG33" s="1196">
        <v>8027</v>
      </c>
      <c r="AH33" s="1195">
        <f t="shared" si="21"/>
        <v>88.8</v>
      </c>
      <c r="AI33" s="1200">
        <v>5599</v>
      </c>
      <c r="AJ33" s="1195">
        <f t="shared" si="11"/>
        <v>62</v>
      </c>
      <c r="AK33" s="1197">
        <v>8037</v>
      </c>
      <c r="AL33" s="1195">
        <f t="shared" si="12"/>
        <v>88.9</v>
      </c>
      <c r="AM33" s="1201">
        <v>94</v>
      </c>
      <c r="AN33" s="1195">
        <v>1.0402833111996459</v>
      </c>
      <c r="AO33" s="1201">
        <v>121</v>
      </c>
      <c r="AP33" s="1201">
        <v>190</v>
      </c>
      <c r="AQ33" s="1197">
        <v>8410</v>
      </c>
      <c r="AR33" s="1195">
        <f t="shared" si="23"/>
        <v>93.1</v>
      </c>
      <c r="AS33" s="1197">
        <v>7541</v>
      </c>
      <c r="AT33" s="1195">
        <f t="shared" si="13"/>
        <v>83.5</v>
      </c>
      <c r="AU33" s="1197">
        <v>7546</v>
      </c>
      <c r="AV33" s="1198">
        <f t="shared" si="14"/>
        <v>83.5</v>
      </c>
      <c r="AW33" s="1202">
        <v>9209</v>
      </c>
      <c r="AX33" s="1197">
        <v>7322</v>
      </c>
      <c r="AY33" s="1203">
        <f>ROUND(AX33/$AW33*100,1)</f>
        <v>79.5</v>
      </c>
      <c r="AZ33" s="1197">
        <v>7317</v>
      </c>
      <c r="BA33" s="1203">
        <f>ROUND(AZ33/$AW33*100,1)</f>
        <v>79.5</v>
      </c>
      <c r="BB33" s="1197">
        <v>7334</v>
      </c>
      <c r="BC33" s="1204">
        <f>ROUND(BB33/$AW33*100,1)</f>
        <v>79.599999999999994</v>
      </c>
      <c r="BD33" s="1205">
        <v>2441</v>
      </c>
      <c r="BE33" s="1197">
        <v>8143</v>
      </c>
      <c r="BF33" s="1206">
        <v>5774</v>
      </c>
      <c r="BG33" s="1205">
        <v>6628</v>
      </c>
      <c r="BH33" s="1207">
        <f t="shared" si="18"/>
        <v>73.099999999999994</v>
      </c>
      <c r="BI33" s="1190" t="s">
        <v>347</v>
      </c>
      <c r="BJ33" s="1191">
        <f t="shared" si="22"/>
        <v>197754</v>
      </c>
    </row>
    <row r="34" spans="1:62" s="1190" customFormat="1" ht="17.100000000000001" customHeight="1" x14ac:dyDescent="0.25">
      <c r="A34" s="1170">
        <v>50</v>
      </c>
      <c r="B34" s="1208" t="s">
        <v>29</v>
      </c>
      <c r="C34" s="1193">
        <v>16745</v>
      </c>
      <c r="D34" s="1194">
        <v>15762</v>
      </c>
      <c r="E34" s="1195">
        <f t="shared" si="0"/>
        <v>94.1</v>
      </c>
      <c r="F34" s="1196">
        <v>15328</v>
      </c>
      <c r="G34" s="1195">
        <f t="shared" si="1"/>
        <v>91.5</v>
      </c>
      <c r="H34" s="1197">
        <v>15458</v>
      </c>
      <c r="I34" s="1195">
        <f t="shared" si="2"/>
        <v>92.3</v>
      </c>
      <c r="J34" s="1197">
        <v>14953</v>
      </c>
      <c r="K34" s="1195">
        <f t="shared" si="2"/>
        <v>89.3</v>
      </c>
      <c r="L34" s="1197">
        <v>15483</v>
      </c>
      <c r="M34" s="1195">
        <f t="shared" si="3"/>
        <v>92.5</v>
      </c>
      <c r="N34" s="1197">
        <v>15263</v>
      </c>
      <c r="O34" s="1195">
        <f t="shared" si="4"/>
        <v>91.1</v>
      </c>
      <c r="P34" s="1197">
        <v>14910</v>
      </c>
      <c r="Q34" s="1195">
        <f t="shared" si="5"/>
        <v>89</v>
      </c>
      <c r="R34" s="1197">
        <v>14833</v>
      </c>
      <c r="S34" s="1195">
        <f t="shared" si="6"/>
        <v>88.6</v>
      </c>
      <c r="T34" s="1197">
        <v>14803</v>
      </c>
      <c r="U34" s="1195">
        <f t="shared" si="7"/>
        <v>88.4</v>
      </c>
      <c r="V34" s="1196">
        <v>10773</v>
      </c>
      <c r="W34" s="1195">
        <f t="shared" si="19"/>
        <v>85.8</v>
      </c>
      <c r="X34" s="1191">
        <v>8137</v>
      </c>
      <c r="Y34" s="1195">
        <f t="shared" si="20"/>
        <v>64.8</v>
      </c>
      <c r="Z34" s="1197">
        <v>14815</v>
      </c>
      <c r="AA34" s="1195">
        <f t="shared" si="8"/>
        <v>88.5</v>
      </c>
      <c r="AB34" s="1197">
        <v>14238</v>
      </c>
      <c r="AC34" s="1198">
        <f t="shared" si="9"/>
        <v>85</v>
      </c>
      <c r="AD34" s="1199">
        <v>16994</v>
      </c>
      <c r="AE34" s="1194">
        <v>15788</v>
      </c>
      <c r="AF34" s="1195">
        <f t="shared" si="10"/>
        <v>92.9</v>
      </c>
      <c r="AG34" s="1196">
        <v>15360</v>
      </c>
      <c r="AH34" s="1195">
        <f t="shared" si="21"/>
        <v>90.4</v>
      </c>
      <c r="AI34" s="1200">
        <v>19030</v>
      </c>
      <c r="AJ34" s="1195">
        <f t="shared" si="11"/>
        <v>112</v>
      </c>
      <c r="AK34" s="1197">
        <v>13824</v>
      </c>
      <c r="AL34" s="1195">
        <f t="shared" si="12"/>
        <v>81.3</v>
      </c>
      <c r="AM34" s="1201">
        <v>68</v>
      </c>
      <c r="AN34" s="1195">
        <v>0.40014122631517002</v>
      </c>
      <c r="AO34" s="1201">
        <v>118</v>
      </c>
      <c r="AP34" s="1201">
        <v>65</v>
      </c>
      <c r="AQ34" s="1197">
        <v>15734</v>
      </c>
      <c r="AR34" s="1195">
        <f t="shared" si="23"/>
        <v>92.6</v>
      </c>
      <c r="AS34" s="1197">
        <v>14458</v>
      </c>
      <c r="AT34" s="1195">
        <f t="shared" si="13"/>
        <v>85.1</v>
      </c>
      <c r="AU34" s="1197">
        <v>14479</v>
      </c>
      <c r="AV34" s="1198">
        <f t="shared" si="14"/>
        <v>85.2</v>
      </c>
      <c r="AW34" s="1202">
        <v>17324</v>
      </c>
      <c r="AX34" s="1197">
        <v>14241</v>
      </c>
      <c r="AY34" s="1203">
        <f t="shared" si="15"/>
        <v>82.2</v>
      </c>
      <c r="AZ34" s="1197">
        <v>14221</v>
      </c>
      <c r="BA34" s="1203">
        <f t="shared" si="16"/>
        <v>82.1</v>
      </c>
      <c r="BB34" s="1197">
        <v>14099</v>
      </c>
      <c r="BC34" s="1204">
        <f t="shared" si="17"/>
        <v>81.400000000000006</v>
      </c>
      <c r="BD34" s="1205">
        <v>5566</v>
      </c>
      <c r="BE34" s="1197">
        <v>16496</v>
      </c>
      <c r="BF34" s="1206">
        <v>8756</v>
      </c>
      <c r="BG34" s="1205">
        <v>11810</v>
      </c>
      <c r="BH34" s="1207">
        <f t="shared" si="18"/>
        <v>70.5</v>
      </c>
      <c r="BI34" s="1190" t="s">
        <v>346</v>
      </c>
      <c r="BJ34" s="1191">
        <f t="shared" si="22"/>
        <v>367059</v>
      </c>
    </row>
    <row r="35" spans="1:62" s="1190" customFormat="1" ht="17.100000000000001" customHeight="1" x14ac:dyDescent="0.25">
      <c r="A35" s="1170">
        <v>52</v>
      </c>
      <c r="B35" s="1192" t="s">
        <v>30</v>
      </c>
      <c r="C35" s="1193">
        <v>21219</v>
      </c>
      <c r="D35" s="1194">
        <v>19170</v>
      </c>
      <c r="E35" s="1195">
        <f t="shared" si="0"/>
        <v>90.3</v>
      </c>
      <c r="F35" s="1196">
        <v>18709</v>
      </c>
      <c r="G35" s="1195">
        <f t="shared" si="1"/>
        <v>88.2</v>
      </c>
      <c r="H35" s="1197">
        <v>19403</v>
      </c>
      <c r="I35" s="1195">
        <f t="shared" si="2"/>
        <v>91.4</v>
      </c>
      <c r="J35" s="1197">
        <v>19156</v>
      </c>
      <c r="K35" s="1195">
        <f t="shared" si="2"/>
        <v>90.3</v>
      </c>
      <c r="L35" s="1197">
        <v>19397</v>
      </c>
      <c r="M35" s="1195">
        <f t="shared" si="3"/>
        <v>91.4</v>
      </c>
      <c r="N35" s="1197">
        <v>19258</v>
      </c>
      <c r="O35" s="1195">
        <f t="shared" si="4"/>
        <v>90.8</v>
      </c>
      <c r="P35" s="1197">
        <v>19167</v>
      </c>
      <c r="Q35" s="1195">
        <f t="shared" si="5"/>
        <v>90.3</v>
      </c>
      <c r="R35" s="1197">
        <v>18914</v>
      </c>
      <c r="S35" s="1195">
        <f t="shared" si="6"/>
        <v>89.1</v>
      </c>
      <c r="T35" s="1197">
        <v>18928</v>
      </c>
      <c r="U35" s="1195">
        <f t="shared" si="7"/>
        <v>89.2</v>
      </c>
      <c r="V35" s="1196">
        <v>11664</v>
      </c>
      <c r="W35" s="1195">
        <f t="shared" si="19"/>
        <v>73.3</v>
      </c>
      <c r="X35" s="1191">
        <v>9500</v>
      </c>
      <c r="Y35" s="1195">
        <f t="shared" si="20"/>
        <v>59.7</v>
      </c>
      <c r="Z35" s="1197">
        <v>19264</v>
      </c>
      <c r="AA35" s="1195">
        <f t="shared" si="8"/>
        <v>90.8</v>
      </c>
      <c r="AB35" s="1197">
        <v>19064</v>
      </c>
      <c r="AC35" s="1198">
        <f t="shared" si="9"/>
        <v>89.8</v>
      </c>
      <c r="AD35" s="1199">
        <v>21816</v>
      </c>
      <c r="AE35" s="1194">
        <v>20010</v>
      </c>
      <c r="AF35" s="1195">
        <f t="shared" si="10"/>
        <v>91.7</v>
      </c>
      <c r="AG35" s="1196">
        <v>19900</v>
      </c>
      <c r="AH35" s="1195">
        <f t="shared" si="21"/>
        <v>91.2</v>
      </c>
      <c r="AI35" s="1200">
        <v>16617</v>
      </c>
      <c r="AJ35" s="1195">
        <f t="shared" si="11"/>
        <v>76.2</v>
      </c>
      <c r="AK35" s="1197">
        <v>19562</v>
      </c>
      <c r="AL35" s="1195">
        <f t="shared" si="12"/>
        <v>89.7</v>
      </c>
      <c r="AM35" s="1201">
        <v>74</v>
      </c>
      <c r="AN35" s="1195">
        <v>0.3392005867253392</v>
      </c>
      <c r="AO35" s="1201">
        <v>162</v>
      </c>
      <c r="AP35" s="1201">
        <v>165</v>
      </c>
      <c r="AQ35" s="1197">
        <v>20109</v>
      </c>
      <c r="AR35" s="1195">
        <f t="shared" si="23"/>
        <v>92.2</v>
      </c>
      <c r="AS35" s="1197">
        <v>18613</v>
      </c>
      <c r="AT35" s="1195">
        <f t="shared" si="13"/>
        <v>85.3</v>
      </c>
      <c r="AU35" s="1197">
        <v>18604</v>
      </c>
      <c r="AV35" s="1198">
        <f t="shared" si="14"/>
        <v>85.3</v>
      </c>
      <c r="AW35" s="1202">
        <v>23415</v>
      </c>
      <c r="AX35" s="1197">
        <v>20453</v>
      </c>
      <c r="AY35" s="1203">
        <f t="shared" si="15"/>
        <v>87.3</v>
      </c>
      <c r="AZ35" s="1197">
        <v>20439</v>
      </c>
      <c r="BA35" s="1203">
        <f t="shared" si="16"/>
        <v>87.3</v>
      </c>
      <c r="BB35" s="1197">
        <v>20499</v>
      </c>
      <c r="BC35" s="1204">
        <f t="shared" si="17"/>
        <v>87.5</v>
      </c>
      <c r="BD35" s="1205">
        <v>2751</v>
      </c>
      <c r="BE35" s="1197">
        <v>69054</v>
      </c>
      <c r="BF35" s="1206">
        <v>11690</v>
      </c>
      <c r="BG35" s="1205">
        <v>15889</v>
      </c>
      <c r="BH35" s="1207">
        <f t="shared" si="18"/>
        <v>74.900000000000006</v>
      </c>
      <c r="BI35" s="1190" t="s">
        <v>352</v>
      </c>
      <c r="BJ35" s="1191">
        <f t="shared" si="22"/>
        <v>510296</v>
      </c>
    </row>
    <row r="36" spans="1:62" s="1190" customFormat="1" ht="17.100000000000001" customHeight="1" x14ac:dyDescent="0.25">
      <c r="A36" s="1170">
        <v>54</v>
      </c>
      <c r="B36" s="1210" t="s">
        <v>125</v>
      </c>
      <c r="C36" s="1193">
        <v>23877</v>
      </c>
      <c r="D36" s="1194">
        <v>21100</v>
      </c>
      <c r="E36" s="1195">
        <f t="shared" si="0"/>
        <v>88.4</v>
      </c>
      <c r="F36" s="1196">
        <v>20706</v>
      </c>
      <c r="G36" s="1195">
        <f t="shared" si="1"/>
        <v>86.7</v>
      </c>
      <c r="H36" s="1197">
        <v>21869</v>
      </c>
      <c r="I36" s="1195">
        <f t="shared" si="2"/>
        <v>91.6</v>
      </c>
      <c r="J36" s="1197">
        <v>22384</v>
      </c>
      <c r="K36" s="1195">
        <f t="shared" si="2"/>
        <v>93.7</v>
      </c>
      <c r="L36" s="1197">
        <v>21846</v>
      </c>
      <c r="M36" s="1195">
        <f t="shared" si="3"/>
        <v>91.5</v>
      </c>
      <c r="N36" s="1197">
        <v>21831</v>
      </c>
      <c r="O36" s="1195">
        <f t="shared" si="4"/>
        <v>91.4</v>
      </c>
      <c r="P36" s="1197">
        <v>22457</v>
      </c>
      <c r="Q36" s="1195">
        <f t="shared" si="5"/>
        <v>94.1</v>
      </c>
      <c r="R36" s="1197">
        <v>21193</v>
      </c>
      <c r="S36" s="1195">
        <f t="shared" si="6"/>
        <v>88.8</v>
      </c>
      <c r="T36" s="1197">
        <v>21332</v>
      </c>
      <c r="U36" s="1195">
        <f t="shared" si="7"/>
        <v>89.3</v>
      </c>
      <c r="V36" s="1196">
        <v>19312</v>
      </c>
      <c r="W36" s="1195">
        <f t="shared" si="19"/>
        <v>107.8</v>
      </c>
      <c r="X36" s="1191">
        <v>12809</v>
      </c>
      <c r="Y36" s="1195">
        <f t="shared" si="20"/>
        <v>71.5</v>
      </c>
      <c r="Z36" s="1197">
        <v>22179</v>
      </c>
      <c r="AA36" s="1195">
        <f t="shared" si="8"/>
        <v>92.9</v>
      </c>
      <c r="AB36" s="1197">
        <v>21010</v>
      </c>
      <c r="AC36" s="1198">
        <f t="shared" si="9"/>
        <v>88</v>
      </c>
      <c r="AD36" s="1199">
        <v>23929</v>
      </c>
      <c r="AE36" s="1194">
        <v>22742</v>
      </c>
      <c r="AF36" s="1195">
        <f t="shared" si="10"/>
        <v>95</v>
      </c>
      <c r="AG36" s="1196">
        <v>22800</v>
      </c>
      <c r="AH36" s="1195">
        <f t="shared" si="21"/>
        <v>95.3</v>
      </c>
      <c r="AI36" s="1200">
        <v>16845</v>
      </c>
      <c r="AJ36" s="1195">
        <f t="shared" si="11"/>
        <v>70.400000000000006</v>
      </c>
      <c r="AK36" s="1197">
        <v>21771</v>
      </c>
      <c r="AL36" s="1195">
        <f t="shared" si="12"/>
        <v>91</v>
      </c>
      <c r="AM36" s="1201">
        <v>168</v>
      </c>
      <c r="AN36" s="1195">
        <v>0.70207697772577204</v>
      </c>
      <c r="AO36" s="1201">
        <v>389</v>
      </c>
      <c r="AP36" s="1201">
        <v>289</v>
      </c>
      <c r="AQ36" s="1197">
        <v>23165</v>
      </c>
      <c r="AR36" s="1195">
        <f t="shared" si="23"/>
        <v>96.8</v>
      </c>
      <c r="AS36" s="1197">
        <v>19466</v>
      </c>
      <c r="AT36" s="1195">
        <f t="shared" si="13"/>
        <v>81.3</v>
      </c>
      <c r="AU36" s="1197">
        <v>19577</v>
      </c>
      <c r="AV36" s="1198">
        <f t="shared" si="14"/>
        <v>81.8</v>
      </c>
      <c r="AW36" s="1202">
        <v>24257</v>
      </c>
      <c r="AX36" s="1197">
        <v>21212</v>
      </c>
      <c r="AY36" s="1203">
        <f t="shared" si="15"/>
        <v>87.4</v>
      </c>
      <c r="AZ36" s="1197">
        <v>21408</v>
      </c>
      <c r="BA36" s="1203">
        <f t="shared" si="16"/>
        <v>88.3</v>
      </c>
      <c r="BB36" s="1197">
        <v>21362</v>
      </c>
      <c r="BC36" s="1204">
        <f t="shared" si="17"/>
        <v>88.1</v>
      </c>
      <c r="BD36" s="1205">
        <v>19124</v>
      </c>
      <c r="BE36" s="1197">
        <v>35904</v>
      </c>
      <c r="BF36" s="1206">
        <v>13018</v>
      </c>
      <c r="BG36" s="1205">
        <v>17543</v>
      </c>
      <c r="BH36" s="1207">
        <f t="shared" si="18"/>
        <v>73.5</v>
      </c>
      <c r="BI36" s="1190" t="s">
        <v>345</v>
      </c>
      <c r="BJ36" s="1191">
        <f t="shared" si="22"/>
        <v>549268</v>
      </c>
    </row>
    <row r="37" spans="1:62" s="1190" customFormat="1" ht="17.100000000000001" customHeight="1" x14ac:dyDescent="0.25">
      <c r="A37" s="1170">
        <v>86</v>
      </c>
      <c r="B37" s="1192" t="s">
        <v>31</v>
      </c>
      <c r="C37" s="1193">
        <v>5310</v>
      </c>
      <c r="D37" s="1194">
        <v>4139</v>
      </c>
      <c r="E37" s="1195">
        <f t="shared" si="0"/>
        <v>77.900000000000006</v>
      </c>
      <c r="F37" s="1196">
        <v>4009</v>
      </c>
      <c r="G37" s="1195">
        <f t="shared" si="1"/>
        <v>75.5</v>
      </c>
      <c r="H37" s="1197">
        <v>4614</v>
      </c>
      <c r="I37" s="1195">
        <f t="shared" si="2"/>
        <v>86.9</v>
      </c>
      <c r="J37" s="1197">
        <v>4692</v>
      </c>
      <c r="K37" s="1195">
        <f t="shared" si="2"/>
        <v>88.4</v>
      </c>
      <c r="L37" s="1197">
        <v>4615</v>
      </c>
      <c r="M37" s="1195">
        <f t="shared" si="3"/>
        <v>86.9</v>
      </c>
      <c r="N37" s="1197">
        <v>4657</v>
      </c>
      <c r="O37" s="1195">
        <f t="shared" si="4"/>
        <v>87.7</v>
      </c>
      <c r="P37" s="1197">
        <v>4691</v>
      </c>
      <c r="Q37" s="1195">
        <f t="shared" si="5"/>
        <v>88.3</v>
      </c>
      <c r="R37" s="1197">
        <v>4459</v>
      </c>
      <c r="S37" s="1195">
        <f t="shared" si="6"/>
        <v>84</v>
      </c>
      <c r="T37" s="1197">
        <v>4553</v>
      </c>
      <c r="U37" s="1195">
        <f t="shared" si="7"/>
        <v>85.7</v>
      </c>
      <c r="V37" s="1196">
        <v>3344</v>
      </c>
      <c r="W37" s="1195">
        <f t="shared" si="19"/>
        <v>84</v>
      </c>
      <c r="X37" s="1191">
        <v>2735</v>
      </c>
      <c r="Y37" s="1195">
        <f t="shared" si="20"/>
        <v>68.7</v>
      </c>
      <c r="Z37" s="1197">
        <v>4612</v>
      </c>
      <c r="AA37" s="1195">
        <f t="shared" si="8"/>
        <v>86.9</v>
      </c>
      <c r="AB37" s="1197">
        <v>4663</v>
      </c>
      <c r="AC37" s="1198">
        <f t="shared" si="9"/>
        <v>87.8</v>
      </c>
      <c r="AD37" s="1199">
        <v>5544</v>
      </c>
      <c r="AE37" s="1194">
        <v>4918</v>
      </c>
      <c r="AF37" s="1195">
        <f t="shared" si="10"/>
        <v>88.7</v>
      </c>
      <c r="AG37" s="1196">
        <v>4834</v>
      </c>
      <c r="AH37" s="1195">
        <f t="shared" si="21"/>
        <v>87.2</v>
      </c>
      <c r="AI37" s="1200">
        <v>4248</v>
      </c>
      <c r="AJ37" s="1195">
        <f t="shared" si="11"/>
        <v>76.599999999999994</v>
      </c>
      <c r="AK37" s="1197">
        <v>4831</v>
      </c>
      <c r="AL37" s="1195">
        <f t="shared" si="12"/>
        <v>87.1</v>
      </c>
      <c r="AM37" s="1201">
        <v>34</v>
      </c>
      <c r="AN37" s="1195">
        <v>0.61327561327561331</v>
      </c>
      <c r="AO37" s="1201">
        <v>74</v>
      </c>
      <c r="AP37" s="1201">
        <v>63</v>
      </c>
      <c r="AQ37" s="1197">
        <v>4960</v>
      </c>
      <c r="AR37" s="1195">
        <f t="shared" si="23"/>
        <v>89.5</v>
      </c>
      <c r="AS37" s="1197">
        <v>4573</v>
      </c>
      <c r="AT37" s="1195">
        <f t="shared" si="13"/>
        <v>82.5</v>
      </c>
      <c r="AU37" s="1197">
        <v>4577</v>
      </c>
      <c r="AV37" s="1198">
        <f t="shared" si="14"/>
        <v>82.6</v>
      </c>
      <c r="AW37" s="1202">
        <v>5927</v>
      </c>
      <c r="AX37" s="1197">
        <v>4933</v>
      </c>
      <c r="AY37" s="1203">
        <f t="shared" si="15"/>
        <v>83.2</v>
      </c>
      <c r="AZ37" s="1197">
        <v>4931</v>
      </c>
      <c r="BA37" s="1203">
        <f t="shared" si="16"/>
        <v>83.2</v>
      </c>
      <c r="BB37" s="1197">
        <v>4945</v>
      </c>
      <c r="BC37" s="1204">
        <f t="shared" si="17"/>
        <v>83.4</v>
      </c>
      <c r="BD37" s="1205">
        <v>1098</v>
      </c>
      <c r="BE37" s="1197">
        <v>10339</v>
      </c>
      <c r="BF37" s="1206">
        <v>3172</v>
      </c>
      <c r="BG37" s="1205">
        <v>3611</v>
      </c>
      <c r="BH37" s="1207">
        <f t="shared" si="18"/>
        <v>68</v>
      </c>
      <c r="BI37" s="1190" t="s">
        <v>344</v>
      </c>
      <c r="BJ37" s="1191">
        <f t="shared" si="22"/>
        <v>118313</v>
      </c>
    </row>
    <row r="38" spans="1:62" s="1190" customFormat="1" ht="17.100000000000001" customHeight="1" x14ac:dyDescent="0.25">
      <c r="A38" s="1170">
        <v>63</v>
      </c>
      <c r="B38" s="1208" t="s">
        <v>32</v>
      </c>
      <c r="C38" s="1193">
        <v>5813</v>
      </c>
      <c r="D38" s="1194">
        <v>6086</v>
      </c>
      <c r="E38" s="1195">
        <f t="shared" si="0"/>
        <v>104.7</v>
      </c>
      <c r="F38" s="1196">
        <v>6051</v>
      </c>
      <c r="G38" s="1195">
        <f t="shared" si="1"/>
        <v>104.1</v>
      </c>
      <c r="H38" s="1197">
        <v>5777</v>
      </c>
      <c r="I38" s="1195">
        <f t="shared" si="2"/>
        <v>99.4</v>
      </c>
      <c r="J38" s="1197">
        <v>5720</v>
      </c>
      <c r="K38" s="1195">
        <f t="shared" si="2"/>
        <v>98.4</v>
      </c>
      <c r="L38" s="1197">
        <v>5779</v>
      </c>
      <c r="M38" s="1195">
        <f t="shared" si="3"/>
        <v>99.4</v>
      </c>
      <c r="N38" s="1197">
        <v>5785</v>
      </c>
      <c r="O38" s="1195">
        <f t="shared" si="4"/>
        <v>99.5</v>
      </c>
      <c r="P38" s="1197">
        <v>5715</v>
      </c>
      <c r="Q38" s="1195">
        <f t="shared" si="5"/>
        <v>98.3</v>
      </c>
      <c r="R38" s="1197">
        <v>5767</v>
      </c>
      <c r="S38" s="1195">
        <f t="shared" si="6"/>
        <v>99.2</v>
      </c>
      <c r="T38" s="1197">
        <v>5766</v>
      </c>
      <c r="U38" s="1195">
        <f t="shared" si="7"/>
        <v>99.2</v>
      </c>
      <c r="V38" s="1196">
        <v>5051</v>
      </c>
      <c r="W38" s="1195">
        <f t="shared" si="19"/>
        <v>115.9</v>
      </c>
      <c r="X38" s="1191">
        <v>3760</v>
      </c>
      <c r="Y38" s="1195">
        <f t="shared" si="20"/>
        <v>86.2</v>
      </c>
      <c r="Z38" s="1197">
        <v>5837</v>
      </c>
      <c r="AA38" s="1195">
        <f t="shared" si="8"/>
        <v>100.4</v>
      </c>
      <c r="AB38" s="1197">
        <v>5823</v>
      </c>
      <c r="AC38" s="1198">
        <f t="shared" si="9"/>
        <v>100.2</v>
      </c>
      <c r="AD38" s="1199">
        <v>5981</v>
      </c>
      <c r="AE38" s="1194">
        <v>5942</v>
      </c>
      <c r="AF38" s="1195">
        <f t="shared" si="10"/>
        <v>99.3</v>
      </c>
      <c r="AG38" s="1196">
        <v>5906</v>
      </c>
      <c r="AH38" s="1195">
        <f t="shared" si="21"/>
        <v>98.7</v>
      </c>
      <c r="AI38" s="1200">
        <v>5313</v>
      </c>
      <c r="AJ38" s="1195">
        <f t="shared" si="11"/>
        <v>88.8</v>
      </c>
      <c r="AK38" s="1197">
        <v>5954</v>
      </c>
      <c r="AL38" s="1195">
        <f t="shared" si="12"/>
        <v>99.5</v>
      </c>
      <c r="AM38" s="1201">
        <v>18</v>
      </c>
      <c r="AN38" s="1195">
        <v>0.30095301788998496</v>
      </c>
      <c r="AO38" s="1201">
        <v>20</v>
      </c>
      <c r="AP38" s="1201">
        <v>32</v>
      </c>
      <c r="AQ38" s="1197">
        <v>5988</v>
      </c>
      <c r="AR38" s="1195">
        <f t="shared" si="23"/>
        <v>100.1</v>
      </c>
      <c r="AS38" s="1197">
        <v>5853</v>
      </c>
      <c r="AT38" s="1195">
        <f t="shared" si="13"/>
        <v>97.9</v>
      </c>
      <c r="AU38" s="1197">
        <v>5864</v>
      </c>
      <c r="AV38" s="1198">
        <f t="shared" si="14"/>
        <v>98</v>
      </c>
      <c r="AW38" s="1202">
        <v>6479</v>
      </c>
      <c r="AX38" s="1197">
        <v>5988</v>
      </c>
      <c r="AY38" s="1203">
        <f t="shared" si="15"/>
        <v>92.4</v>
      </c>
      <c r="AZ38" s="1197">
        <v>5973</v>
      </c>
      <c r="BA38" s="1203">
        <f t="shared" si="16"/>
        <v>92.2</v>
      </c>
      <c r="BB38" s="1197">
        <v>5884</v>
      </c>
      <c r="BC38" s="1204">
        <f t="shared" si="17"/>
        <v>90.8</v>
      </c>
      <c r="BD38" s="1205">
        <v>3487</v>
      </c>
      <c r="BE38" s="1197">
        <v>23271</v>
      </c>
      <c r="BF38" s="1206">
        <v>4374</v>
      </c>
      <c r="BG38" s="1205">
        <v>5100</v>
      </c>
      <c r="BH38" s="1207">
        <f t="shared" si="18"/>
        <v>87.7</v>
      </c>
      <c r="BI38" s="1190" t="s">
        <v>345</v>
      </c>
      <c r="BJ38" s="1191">
        <f t="shared" si="22"/>
        <v>162784</v>
      </c>
    </row>
    <row r="39" spans="1:62" s="1190" customFormat="1" ht="17.100000000000001" customHeight="1" x14ac:dyDescent="0.25">
      <c r="A39" s="1170">
        <v>66</v>
      </c>
      <c r="B39" s="1208" t="s">
        <v>33</v>
      </c>
      <c r="C39" s="1193">
        <v>11180</v>
      </c>
      <c r="D39" s="1194">
        <v>11320</v>
      </c>
      <c r="E39" s="1195">
        <f t="shared" si="0"/>
        <v>101.3</v>
      </c>
      <c r="F39" s="1196">
        <v>11208</v>
      </c>
      <c r="G39" s="1195">
        <f t="shared" si="1"/>
        <v>100.3</v>
      </c>
      <c r="H39" s="1197">
        <v>10724</v>
      </c>
      <c r="I39" s="1195">
        <f t="shared" si="2"/>
        <v>95.9</v>
      </c>
      <c r="J39" s="1197">
        <v>10715</v>
      </c>
      <c r="K39" s="1195">
        <f t="shared" si="2"/>
        <v>95.8</v>
      </c>
      <c r="L39" s="1197">
        <v>10797</v>
      </c>
      <c r="M39" s="1195">
        <f t="shared" si="3"/>
        <v>96.6</v>
      </c>
      <c r="N39" s="1197">
        <v>10667</v>
      </c>
      <c r="O39" s="1195">
        <f t="shared" si="4"/>
        <v>95.4</v>
      </c>
      <c r="P39" s="1197">
        <v>10717</v>
      </c>
      <c r="Q39" s="1195">
        <f t="shared" si="5"/>
        <v>95.9</v>
      </c>
      <c r="R39" s="1197">
        <v>10649</v>
      </c>
      <c r="S39" s="1195">
        <f t="shared" si="6"/>
        <v>95.3</v>
      </c>
      <c r="T39" s="1197">
        <v>10583</v>
      </c>
      <c r="U39" s="1195">
        <f t="shared" si="7"/>
        <v>94.7</v>
      </c>
      <c r="V39" s="1196">
        <v>8354</v>
      </c>
      <c r="W39" s="1195">
        <f t="shared" si="19"/>
        <v>99.6</v>
      </c>
      <c r="X39" s="1191">
        <v>6714</v>
      </c>
      <c r="Y39" s="1195">
        <f t="shared" si="20"/>
        <v>80.099999999999994</v>
      </c>
      <c r="Z39" s="1197">
        <v>10707</v>
      </c>
      <c r="AA39" s="1195">
        <f t="shared" si="8"/>
        <v>95.8</v>
      </c>
      <c r="AB39" s="1197">
        <v>10418</v>
      </c>
      <c r="AC39" s="1198">
        <f t="shared" si="9"/>
        <v>93.2</v>
      </c>
      <c r="AD39" s="1199">
        <v>11369</v>
      </c>
      <c r="AE39" s="1194">
        <v>10903</v>
      </c>
      <c r="AF39" s="1195">
        <f t="shared" si="10"/>
        <v>95.9</v>
      </c>
      <c r="AG39" s="1196">
        <v>10774</v>
      </c>
      <c r="AH39" s="1195">
        <f t="shared" si="21"/>
        <v>94.8</v>
      </c>
      <c r="AI39" s="1200">
        <v>7988</v>
      </c>
      <c r="AJ39" s="1195">
        <f t="shared" si="11"/>
        <v>70.3</v>
      </c>
      <c r="AK39" s="1197">
        <v>10631</v>
      </c>
      <c r="AL39" s="1195">
        <f t="shared" si="12"/>
        <v>93.5</v>
      </c>
      <c r="AM39" s="1201">
        <v>119</v>
      </c>
      <c r="AN39" s="1195">
        <v>1.0467059547893394</v>
      </c>
      <c r="AO39" s="1201">
        <v>102</v>
      </c>
      <c r="AP39" s="1201">
        <v>112</v>
      </c>
      <c r="AQ39" s="1197">
        <v>10931</v>
      </c>
      <c r="AR39" s="1195">
        <f t="shared" si="23"/>
        <v>96.1</v>
      </c>
      <c r="AS39" s="1197">
        <v>10636</v>
      </c>
      <c r="AT39" s="1195">
        <f t="shared" si="13"/>
        <v>93.6</v>
      </c>
      <c r="AU39" s="1197">
        <v>10628</v>
      </c>
      <c r="AV39" s="1198">
        <f t="shared" si="14"/>
        <v>93.5</v>
      </c>
      <c r="AW39" s="1202">
        <v>12164</v>
      </c>
      <c r="AX39" s="1197">
        <v>11281</v>
      </c>
      <c r="AY39" s="1203">
        <f t="shared" si="15"/>
        <v>92.7</v>
      </c>
      <c r="AZ39" s="1197">
        <v>11242</v>
      </c>
      <c r="BA39" s="1203">
        <f t="shared" si="16"/>
        <v>92.4</v>
      </c>
      <c r="BB39" s="1197">
        <v>11065</v>
      </c>
      <c r="BC39" s="1204">
        <f t="shared" si="17"/>
        <v>91</v>
      </c>
      <c r="BD39" s="1205">
        <v>4682</v>
      </c>
      <c r="BE39" s="1197">
        <v>39076</v>
      </c>
      <c r="BF39" s="1206">
        <v>6754</v>
      </c>
      <c r="BG39" s="1205">
        <v>9481</v>
      </c>
      <c r="BH39" s="1207">
        <f t="shared" si="18"/>
        <v>84.8</v>
      </c>
      <c r="BI39" s="1190" t="s">
        <v>345</v>
      </c>
      <c r="BJ39" s="1191">
        <f t="shared" si="22"/>
        <v>290497</v>
      </c>
    </row>
    <row r="40" spans="1:62" s="1190" customFormat="1" ht="17.100000000000001" customHeight="1" x14ac:dyDescent="0.25">
      <c r="A40" s="1170">
        <v>88</v>
      </c>
      <c r="B40" s="1208" t="s">
        <v>359</v>
      </c>
      <c r="C40" s="1193">
        <v>919</v>
      </c>
      <c r="D40" s="1194">
        <v>835</v>
      </c>
      <c r="E40" s="1195">
        <f t="shared" si="0"/>
        <v>90.9</v>
      </c>
      <c r="F40" s="1196">
        <v>831</v>
      </c>
      <c r="G40" s="1195">
        <f t="shared" si="1"/>
        <v>90.4</v>
      </c>
      <c r="H40" s="1197">
        <v>863</v>
      </c>
      <c r="I40" s="1195">
        <f t="shared" si="2"/>
        <v>93.9</v>
      </c>
      <c r="J40" s="1197">
        <v>801</v>
      </c>
      <c r="K40" s="1195">
        <f t="shared" si="2"/>
        <v>87.2</v>
      </c>
      <c r="L40" s="1197">
        <v>864</v>
      </c>
      <c r="M40" s="1195">
        <f t="shared" si="3"/>
        <v>94</v>
      </c>
      <c r="N40" s="1197">
        <v>858</v>
      </c>
      <c r="O40" s="1195">
        <f t="shared" si="4"/>
        <v>93.4</v>
      </c>
      <c r="P40" s="1197">
        <v>800</v>
      </c>
      <c r="Q40" s="1195">
        <f t="shared" si="5"/>
        <v>87.1</v>
      </c>
      <c r="R40" s="1197">
        <v>852</v>
      </c>
      <c r="S40" s="1195">
        <f t="shared" si="6"/>
        <v>92.7</v>
      </c>
      <c r="T40" s="1197">
        <v>847</v>
      </c>
      <c r="U40" s="1195">
        <f t="shared" si="7"/>
        <v>92.2</v>
      </c>
      <c r="V40" s="1196">
        <v>496</v>
      </c>
      <c r="W40" s="1195">
        <f t="shared" si="19"/>
        <v>72</v>
      </c>
      <c r="X40" s="1191">
        <v>341</v>
      </c>
      <c r="Y40" s="1195">
        <f t="shared" si="20"/>
        <v>49.5</v>
      </c>
      <c r="Z40" s="1197">
        <v>863</v>
      </c>
      <c r="AA40" s="1195">
        <f t="shared" si="8"/>
        <v>93.9</v>
      </c>
      <c r="AB40" s="1197">
        <v>853</v>
      </c>
      <c r="AC40" s="1198">
        <f t="shared" si="9"/>
        <v>92.8</v>
      </c>
      <c r="AD40" s="1199">
        <v>909</v>
      </c>
      <c r="AE40" s="1194">
        <v>834</v>
      </c>
      <c r="AF40" s="1195">
        <f t="shared" si="10"/>
        <v>91.7</v>
      </c>
      <c r="AG40" s="1196">
        <v>820</v>
      </c>
      <c r="AH40" s="1195">
        <f t="shared" si="21"/>
        <v>90.2</v>
      </c>
      <c r="AI40" s="1200">
        <v>734</v>
      </c>
      <c r="AJ40" s="1195">
        <f t="shared" si="11"/>
        <v>80.7</v>
      </c>
      <c r="AK40" s="1197">
        <v>826</v>
      </c>
      <c r="AL40" s="1195">
        <f t="shared" si="12"/>
        <v>90.9</v>
      </c>
      <c r="AM40" s="1201">
        <v>0</v>
      </c>
      <c r="AN40" s="1195">
        <v>0</v>
      </c>
      <c r="AO40" s="1201">
        <v>1</v>
      </c>
      <c r="AP40" s="1201">
        <v>0</v>
      </c>
      <c r="AQ40" s="1197">
        <v>835</v>
      </c>
      <c r="AR40" s="1195">
        <f t="shared" si="23"/>
        <v>91.9</v>
      </c>
      <c r="AS40" s="1197">
        <v>862</v>
      </c>
      <c r="AT40" s="1195">
        <f t="shared" si="13"/>
        <v>94.8</v>
      </c>
      <c r="AU40" s="1197">
        <v>857</v>
      </c>
      <c r="AV40" s="1198">
        <f t="shared" si="14"/>
        <v>94.3</v>
      </c>
      <c r="AW40" s="1202">
        <v>928</v>
      </c>
      <c r="AX40" s="1197">
        <v>776</v>
      </c>
      <c r="AY40" s="1203">
        <f t="shared" si="15"/>
        <v>83.6</v>
      </c>
      <c r="AZ40" s="1197">
        <v>773</v>
      </c>
      <c r="BA40" s="1203">
        <f t="shared" si="16"/>
        <v>83.3</v>
      </c>
      <c r="BB40" s="1197">
        <v>771</v>
      </c>
      <c r="BC40" s="1204">
        <f t="shared" si="17"/>
        <v>83.1</v>
      </c>
      <c r="BD40" s="1205">
        <v>2143</v>
      </c>
      <c r="BE40" s="1197">
        <v>2250</v>
      </c>
      <c r="BF40" s="1206">
        <v>667</v>
      </c>
      <c r="BG40" s="1205">
        <v>727</v>
      </c>
      <c r="BH40" s="1207">
        <f t="shared" si="18"/>
        <v>79.099999999999994</v>
      </c>
      <c r="BI40" s="1190" t="s">
        <v>347</v>
      </c>
      <c r="BJ40" s="1191">
        <f t="shared" si="22"/>
        <v>23253</v>
      </c>
    </row>
    <row r="41" spans="1:62" s="1190" customFormat="1" ht="17.100000000000001" customHeight="1" x14ac:dyDescent="0.25">
      <c r="A41" s="1170">
        <v>68</v>
      </c>
      <c r="B41" s="1208" t="s">
        <v>35</v>
      </c>
      <c r="C41" s="1193">
        <v>33313</v>
      </c>
      <c r="D41" s="1194">
        <v>27003</v>
      </c>
      <c r="E41" s="1195">
        <f t="shared" si="0"/>
        <v>81.099999999999994</v>
      </c>
      <c r="F41" s="1196">
        <v>26268</v>
      </c>
      <c r="G41" s="1195">
        <f t="shared" si="1"/>
        <v>78.900000000000006</v>
      </c>
      <c r="H41" s="1197">
        <v>30172</v>
      </c>
      <c r="I41" s="1195">
        <f t="shared" si="2"/>
        <v>90.6</v>
      </c>
      <c r="J41" s="1197">
        <v>30209</v>
      </c>
      <c r="K41" s="1195">
        <f t="shared" si="2"/>
        <v>90.7</v>
      </c>
      <c r="L41" s="1197">
        <v>30709</v>
      </c>
      <c r="M41" s="1195">
        <f t="shared" si="3"/>
        <v>92.2</v>
      </c>
      <c r="N41" s="1197">
        <v>30129</v>
      </c>
      <c r="O41" s="1195">
        <f t="shared" si="4"/>
        <v>90.4</v>
      </c>
      <c r="P41" s="1197">
        <v>30051</v>
      </c>
      <c r="Q41" s="1195">
        <f t="shared" si="5"/>
        <v>90.2</v>
      </c>
      <c r="R41" s="1197">
        <v>30076</v>
      </c>
      <c r="S41" s="1195">
        <f t="shared" si="6"/>
        <v>90.3</v>
      </c>
      <c r="T41" s="1197">
        <v>30235</v>
      </c>
      <c r="U41" s="1195">
        <f t="shared" si="7"/>
        <v>90.8</v>
      </c>
      <c r="V41" s="1196">
        <v>26603</v>
      </c>
      <c r="W41" s="1195">
        <f t="shared" si="19"/>
        <v>106.5</v>
      </c>
      <c r="X41" s="1191">
        <v>20577</v>
      </c>
      <c r="Y41" s="1195">
        <f t="shared" si="20"/>
        <v>82.4</v>
      </c>
      <c r="Z41" s="1197">
        <v>30234</v>
      </c>
      <c r="AA41" s="1195">
        <f t="shared" si="8"/>
        <v>90.8</v>
      </c>
      <c r="AB41" s="1197">
        <v>30340</v>
      </c>
      <c r="AC41" s="1198">
        <f t="shared" si="9"/>
        <v>91.1</v>
      </c>
      <c r="AD41" s="1199">
        <v>33241</v>
      </c>
      <c r="AE41" s="1194">
        <v>30904</v>
      </c>
      <c r="AF41" s="1195">
        <f t="shared" si="10"/>
        <v>93</v>
      </c>
      <c r="AG41" s="1196">
        <v>30238</v>
      </c>
      <c r="AH41" s="1195">
        <f t="shared" si="21"/>
        <v>91</v>
      </c>
      <c r="AI41" s="1200">
        <v>24137</v>
      </c>
      <c r="AJ41" s="1195">
        <f t="shared" si="11"/>
        <v>72.599999999999994</v>
      </c>
      <c r="AK41" s="1197">
        <v>29581</v>
      </c>
      <c r="AL41" s="1195">
        <f t="shared" si="12"/>
        <v>89</v>
      </c>
      <c r="AM41" s="1201">
        <v>473</v>
      </c>
      <c r="AN41" s="1195">
        <v>1.4229415480882044</v>
      </c>
      <c r="AO41" s="1201">
        <v>105</v>
      </c>
      <c r="AP41" s="1201">
        <v>297</v>
      </c>
      <c r="AQ41" s="1197">
        <v>30825</v>
      </c>
      <c r="AR41" s="1195">
        <f t="shared" si="23"/>
        <v>92.7</v>
      </c>
      <c r="AS41" s="1197">
        <v>28169</v>
      </c>
      <c r="AT41" s="1195">
        <f t="shared" si="13"/>
        <v>84.7</v>
      </c>
      <c r="AU41" s="1197">
        <v>28381</v>
      </c>
      <c r="AV41" s="1198">
        <f t="shared" si="14"/>
        <v>85.4</v>
      </c>
      <c r="AW41" s="1202">
        <v>32579</v>
      </c>
      <c r="AX41" s="1197">
        <v>28097</v>
      </c>
      <c r="AY41" s="1203">
        <f t="shared" si="15"/>
        <v>86.2</v>
      </c>
      <c r="AZ41" s="1197">
        <v>28395</v>
      </c>
      <c r="BA41" s="1203">
        <f t="shared" si="16"/>
        <v>87.2</v>
      </c>
      <c r="BB41" s="1197">
        <v>27129</v>
      </c>
      <c r="BC41" s="1204">
        <f t="shared" si="17"/>
        <v>83.3</v>
      </c>
      <c r="BD41" s="1205">
        <v>15760</v>
      </c>
      <c r="BE41" s="1197">
        <v>59237</v>
      </c>
      <c r="BF41" s="1206">
        <v>21268</v>
      </c>
      <c r="BG41" s="1205">
        <v>25293</v>
      </c>
      <c r="BH41" s="1207">
        <f t="shared" si="18"/>
        <v>75.900000000000006</v>
      </c>
      <c r="BI41" s="1190" t="s">
        <v>345</v>
      </c>
      <c r="BJ41" s="1191">
        <f t="shared" si="22"/>
        <v>755602</v>
      </c>
    </row>
    <row r="42" spans="1:62" s="1190" customFormat="1" ht="17.100000000000001" customHeight="1" x14ac:dyDescent="0.25">
      <c r="A42" s="1170">
        <v>70</v>
      </c>
      <c r="B42" s="1208" t="s">
        <v>36</v>
      </c>
      <c r="C42" s="1193">
        <v>16298</v>
      </c>
      <c r="D42" s="1194">
        <v>13778</v>
      </c>
      <c r="E42" s="1195">
        <f t="shared" si="0"/>
        <v>84.5</v>
      </c>
      <c r="F42" s="1196">
        <v>13647</v>
      </c>
      <c r="G42" s="1195">
        <f t="shared" si="1"/>
        <v>83.7</v>
      </c>
      <c r="H42" s="1197">
        <v>14398</v>
      </c>
      <c r="I42" s="1195">
        <f t="shared" si="2"/>
        <v>88.3</v>
      </c>
      <c r="J42" s="1197">
        <v>14144</v>
      </c>
      <c r="K42" s="1195">
        <f t="shared" si="2"/>
        <v>86.8</v>
      </c>
      <c r="L42" s="1197">
        <v>14414</v>
      </c>
      <c r="M42" s="1195">
        <f t="shared" si="3"/>
        <v>88.4</v>
      </c>
      <c r="N42" s="1197">
        <v>14276</v>
      </c>
      <c r="O42" s="1195">
        <f t="shared" si="4"/>
        <v>87.6</v>
      </c>
      <c r="P42" s="1197">
        <v>14156</v>
      </c>
      <c r="Q42" s="1195">
        <f t="shared" si="5"/>
        <v>86.9</v>
      </c>
      <c r="R42" s="1197">
        <v>14107</v>
      </c>
      <c r="S42" s="1195">
        <f t="shared" si="6"/>
        <v>86.6</v>
      </c>
      <c r="T42" s="1197">
        <v>14009</v>
      </c>
      <c r="U42" s="1195">
        <f t="shared" si="7"/>
        <v>86</v>
      </c>
      <c r="V42" s="1196">
        <v>9361</v>
      </c>
      <c r="W42" s="1195">
        <f t="shared" si="19"/>
        <v>76.599999999999994</v>
      </c>
      <c r="X42" s="1191">
        <v>8074</v>
      </c>
      <c r="Y42" s="1195">
        <f t="shared" si="20"/>
        <v>66.099999999999994</v>
      </c>
      <c r="Z42" s="1197">
        <v>14353</v>
      </c>
      <c r="AA42" s="1195">
        <f t="shared" si="8"/>
        <v>88.1</v>
      </c>
      <c r="AB42" s="1197">
        <v>14221</v>
      </c>
      <c r="AC42" s="1198">
        <f t="shared" si="9"/>
        <v>87.3</v>
      </c>
      <c r="AD42" s="1199">
        <v>16424</v>
      </c>
      <c r="AE42" s="1194">
        <v>14498</v>
      </c>
      <c r="AF42" s="1195">
        <f t="shared" si="10"/>
        <v>88.3</v>
      </c>
      <c r="AG42" s="1196">
        <v>14224</v>
      </c>
      <c r="AH42" s="1195">
        <f t="shared" si="21"/>
        <v>86.6</v>
      </c>
      <c r="AI42" s="1200">
        <v>12438</v>
      </c>
      <c r="AJ42" s="1195">
        <f t="shared" si="11"/>
        <v>75.7</v>
      </c>
      <c r="AK42" s="1197">
        <v>14357</v>
      </c>
      <c r="AL42" s="1195">
        <f t="shared" si="12"/>
        <v>87.4</v>
      </c>
      <c r="AM42" s="1201">
        <v>58</v>
      </c>
      <c r="AN42" s="1195">
        <v>0.35314174378957625</v>
      </c>
      <c r="AO42" s="1201">
        <v>104</v>
      </c>
      <c r="AP42" s="1201">
        <v>152</v>
      </c>
      <c r="AQ42" s="1197">
        <v>14514</v>
      </c>
      <c r="AR42" s="1195">
        <f t="shared" si="23"/>
        <v>88.4</v>
      </c>
      <c r="AS42" s="1197">
        <v>14546</v>
      </c>
      <c r="AT42" s="1195">
        <f t="shared" si="13"/>
        <v>88.6</v>
      </c>
      <c r="AU42" s="1197">
        <v>14538</v>
      </c>
      <c r="AV42" s="1198">
        <f t="shared" si="14"/>
        <v>88.5</v>
      </c>
      <c r="AW42" s="1202">
        <v>17422</v>
      </c>
      <c r="AX42" s="1197">
        <v>15546</v>
      </c>
      <c r="AY42" s="1203">
        <f t="shared" si="15"/>
        <v>89.2</v>
      </c>
      <c r="AZ42" s="1197">
        <v>15552</v>
      </c>
      <c r="BA42" s="1203">
        <f t="shared" si="16"/>
        <v>89.3</v>
      </c>
      <c r="BB42" s="1197">
        <v>15525</v>
      </c>
      <c r="BC42" s="1204">
        <f t="shared" si="17"/>
        <v>89.1</v>
      </c>
      <c r="BD42" s="1205">
        <v>12398</v>
      </c>
      <c r="BE42" s="1197">
        <v>26077</v>
      </c>
      <c r="BF42" s="1206">
        <v>10431</v>
      </c>
      <c r="BG42" s="1205">
        <v>12348</v>
      </c>
      <c r="BH42" s="1207">
        <f t="shared" si="18"/>
        <v>75.8</v>
      </c>
      <c r="BI42" s="1190" t="s">
        <v>347</v>
      </c>
      <c r="BJ42" s="1191">
        <f t="shared" si="22"/>
        <v>367896</v>
      </c>
    </row>
    <row r="43" spans="1:62" s="1190" customFormat="1" ht="17.100000000000001" customHeight="1" x14ac:dyDescent="0.25">
      <c r="A43" s="1170">
        <v>73</v>
      </c>
      <c r="B43" s="1208" t="s">
        <v>37</v>
      </c>
      <c r="C43" s="1193">
        <v>19332</v>
      </c>
      <c r="D43" s="1194">
        <v>16056</v>
      </c>
      <c r="E43" s="1195">
        <f t="shared" si="0"/>
        <v>83.1</v>
      </c>
      <c r="F43" s="1196">
        <v>15716</v>
      </c>
      <c r="G43" s="1195">
        <f t="shared" si="1"/>
        <v>81.3</v>
      </c>
      <c r="H43" s="1197">
        <v>17276</v>
      </c>
      <c r="I43" s="1195">
        <f t="shared" si="2"/>
        <v>89.4</v>
      </c>
      <c r="J43" s="1197">
        <v>17086</v>
      </c>
      <c r="K43" s="1195">
        <f t="shared" si="2"/>
        <v>88.4</v>
      </c>
      <c r="L43" s="1197">
        <v>17299</v>
      </c>
      <c r="M43" s="1195">
        <f t="shared" si="3"/>
        <v>89.5</v>
      </c>
      <c r="N43" s="1197">
        <v>17194</v>
      </c>
      <c r="O43" s="1195">
        <f t="shared" si="4"/>
        <v>88.9</v>
      </c>
      <c r="P43" s="1197">
        <v>17074</v>
      </c>
      <c r="Q43" s="1195">
        <f t="shared" si="5"/>
        <v>88.3</v>
      </c>
      <c r="R43" s="1197">
        <v>17118</v>
      </c>
      <c r="S43" s="1195">
        <f t="shared" si="6"/>
        <v>88.5</v>
      </c>
      <c r="T43" s="1197">
        <v>16999</v>
      </c>
      <c r="U43" s="1195">
        <f t="shared" si="7"/>
        <v>87.9</v>
      </c>
      <c r="V43" s="1196">
        <v>15150</v>
      </c>
      <c r="W43" s="1195">
        <f t="shared" si="19"/>
        <v>104.5</v>
      </c>
      <c r="X43" s="1191">
        <v>9971</v>
      </c>
      <c r="Y43" s="1195">
        <f t="shared" si="20"/>
        <v>68.8</v>
      </c>
      <c r="Z43" s="1197">
        <v>17058</v>
      </c>
      <c r="AA43" s="1195">
        <f t="shared" si="8"/>
        <v>88.2</v>
      </c>
      <c r="AB43" s="1197">
        <v>16940</v>
      </c>
      <c r="AC43" s="1198">
        <f t="shared" si="9"/>
        <v>87.6</v>
      </c>
      <c r="AD43" s="1199">
        <v>19693</v>
      </c>
      <c r="AE43" s="1194">
        <v>17199</v>
      </c>
      <c r="AF43" s="1195">
        <f t="shared" si="10"/>
        <v>87.3</v>
      </c>
      <c r="AG43" s="1196">
        <v>16981</v>
      </c>
      <c r="AH43" s="1195">
        <f t="shared" si="21"/>
        <v>86.2</v>
      </c>
      <c r="AI43" s="1200">
        <v>12960</v>
      </c>
      <c r="AJ43" s="1195">
        <f t="shared" si="11"/>
        <v>65.8</v>
      </c>
      <c r="AK43" s="1197">
        <v>16742</v>
      </c>
      <c r="AL43" s="1195">
        <f t="shared" si="12"/>
        <v>85</v>
      </c>
      <c r="AM43" s="1201">
        <v>92</v>
      </c>
      <c r="AN43" s="1195">
        <v>0.46717107601685876</v>
      </c>
      <c r="AO43" s="1201">
        <v>54</v>
      </c>
      <c r="AP43" s="1201">
        <v>194</v>
      </c>
      <c r="AQ43" s="1197">
        <v>17217</v>
      </c>
      <c r="AR43" s="1195">
        <f t="shared" si="23"/>
        <v>87.4</v>
      </c>
      <c r="AS43" s="1197">
        <v>16342</v>
      </c>
      <c r="AT43" s="1195">
        <f t="shared" si="13"/>
        <v>83</v>
      </c>
      <c r="AU43" s="1197">
        <v>16198</v>
      </c>
      <c r="AV43" s="1198">
        <f t="shared" si="14"/>
        <v>82.3</v>
      </c>
      <c r="AW43" s="1202">
        <v>20594</v>
      </c>
      <c r="AX43" s="1197">
        <v>17351</v>
      </c>
      <c r="AY43" s="1203">
        <f t="shared" si="15"/>
        <v>84.3</v>
      </c>
      <c r="AZ43" s="1197">
        <v>17013</v>
      </c>
      <c r="BA43" s="1203">
        <f t="shared" si="16"/>
        <v>82.6</v>
      </c>
      <c r="BB43" s="1197">
        <v>17067</v>
      </c>
      <c r="BC43" s="1204">
        <f t="shared" si="17"/>
        <v>82.9</v>
      </c>
      <c r="BD43" s="1205">
        <v>17822</v>
      </c>
      <c r="BE43" s="1197">
        <v>37891</v>
      </c>
      <c r="BF43" s="1206">
        <v>8437</v>
      </c>
      <c r="BG43" s="1205">
        <v>13311</v>
      </c>
      <c r="BH43" s="1207">
        <f t="shared" si="18"/>
        <v>68.900000000000006</v>
      </c>
      <c r="BI43" s="1190" t="s">
        <v>345</v>
      </c>
      <c r="BJ43" s="1191">
        <f t="shared" si="22"/>
        <v>440497</v>
      </c>
    </row>
    <row r="44" spans="1:62" s="1190" customFormat="1" ht="17.100000000000001" customHeight="1" x14ac:dyDescent="0.25">
      <c r="A44" s="1170">
        <v>76</v>
      </c>
      <c r="B44" s="1192" t="s">
        <v>360</v>
      </c>
      <c r="C44" s="1193">
        <v>58592</v>
      </c>
      <c r="D44" s="1194">
        <v>50417</v>
      </c>
      <c r="E44" s="1195">
        <f t="shared" si="0"/>
        <v>86</v>
      </c>
      <c r="F44" s="1196">
        <v>49517</v>
      </c>
      <c r="G44" s="1195">
        <f t="shared" si="1"/>
        <v>84.5</v>
      </c>
      <c r="H44" s="1197">
        <v>56223</v>
      </c>
      <c r="I44" s="1195">
        <f t="shared" si="2"/>
        <v>96</v>
      </c>
      <c r="J44" s="1197">
        <v>55938</v>
      </c>
      <c r="K44" s="1195">
        <f t="shared" si="2"/>
        <v>95.5</v>
      </c>
      <c r="L44" s="1197">
        <v>55708</v>
      </c>
      <c r="M44" s="1195">
        <f t="shared" si="3"/>
        <v>95.1</v>
      </c>
      <c r="N44" s="1197">
        <v>55989</v>
      </c>
      <c r="O44" s="1195">
        <f t="shared" si="4"/>
        <v>95.6</v>
      </c>
      <c r="P44" s="1197">
        <v>55910</v>
      </c>
      <c r="Q44" s="1195">
        <f t="shared" si="5"/>
        <v>95.4</v>
      </c>
      <c r="R44" s="1197">
        <v>55542</v>
      </c>
      <c r="S44" s="1195">
        <f t="shared" si="6"/>
        <v>94.8</v>
      </c>
      <c r="T44" s="1197">
        <v>55645</v>
      </c>
      <c r="U44" s="1195">
        <f t="shared" si="7"/>
        <v>95</v>
      </c>
      <c r="V44" s="1196">
        <v>42009</v>
      </c>
      <c r="W44" s="1195">
        <f t="shared" si="19"/>
        <v>95.6</v>
      </c>
      <c r="X44" s="1191">
        <v>26467</v>
      </c>
      <c r="Y44" s="1195">
        <f t="shared" si="20"/>
        <v>60.2</v>
      </c>
      <c r="Z44" s="1197">
        <v>55583</v>
      </c>
      <c r="AA44" s="1195">
        <f t="shared" si="8"/>
        <v>94.9</v>
      </c>
      <c r="AB44" s="1197">
        <v>55879</v>
      </c>
      <c r="AC44" s="1198">
        <f t="shared" si="9"/>
        <v>95.4</v>
      </c>
      <c r="AD44" s="1199">
        <v>57615</v>
      </c>
      <c r="AE44" s="1194">
        <v>55339</v>
      </c>
      <c r="AF44" s="1195">
        <f t="shared" si="10"/>
        <v>96</v>
      </c>
      <c r="AG44" s="1196">
        <v>55572</v>
      </c>
      <c r="AH44" s="1195">
        <f t="shared" si="21"/>
        <v>96.5</v>
      </c>
      <c r="AI44" s="1200">
        <v>51520</v>
      </c>
      <c r="AJ44" s="1195">
        <f t="shared" si="11"/>
        <v>89.4</v>
      </c>
      <c r="AK44" s="1197">
        <v>55249</v>
      </c>
      <c r="AL44" s="1195">
        <f t="shared" si="12"/>
        <v>95.9</v>
      </c>
      <c r="AM44" s="1201">
        <v>266</v>
      </c>
      <c r="AN44" s="1195">
        <v>0.46168532500216958</v>
      </c>
      <c r="AO44" s="1201">
        <v>192</v>
      </c>
      <c r="AP44" s="1201">
        <v>424</v>
      </c>
      <c r="AQ44" s="1197">
        <v>55244</v>
      </c>
      <c r="AR44" s="1195">
        <f t="shared" si="23"/>
        <v>95.9</v>
      </c>
      <c r="AS44" s="1197">
        <v>54214</v>
      </c>
      <c r="AT44" s="1195">
        <f t="shared" si="13"/>
        <v>94.1</v>
      </c>
      <c r="AU44" s="1197">
        <v>54194</v>
      </c>
      <c r="AV44" s="1198">
        <f t="shared" si="14"/>
        <v>94.1</v>
      </c>
      <c r="AW44" s="1202">
        <v>59318</v>
      </c>
      <c r="AX44" s="1197">
        <v>56196</v>
      </c>
      <c r="AY44" s="1203">
        <f t="shared" si="15"/>
        <v>94.7</v>
      </c>
      <c r="AZ44" s="1197">
        <v>56141</v>
      </c>
      <c r="BA44" s="1203">
        <f t="shared" si="16"/>
        <v>94.6</v>
      </c>
      <c r="BB44" s="1197">
        <v>56013</v>
      </c>
      <c r="BC44" s="1204">
        <f t="shared" si="17"/>
        <v>94.4</v>
      </c>
      <c r="BD44" s="1205">
        <v>35224</v>
      </c>
      <c r="BE44" s="1197">
        <v>108516</v>
      </c>
      <c r="BF44" s="1206">
        <v>30554</v>
      </c>
      <c r="BG44" s="1205">
        <v>39126</v>
      </c>
      <c r="BH44" s="1207">
        <f t="shared" si="18"/>
        <v>66.8</v>
      </c>
      <c r="BI44" s="1190" t="s">
        <v>352</v>
      </c>
      <c r="BJ44" s="1191">
        <f t="shared" si="22"/>
        <v>1395685</v>
      </c>
    </row>
    <row r="45" spans="1:62" s="1190" customFormat="1" ht="17.100000000000001" customHeight="1" x14ac:dyDescent="0.25">
      <c r="A45" s="1170" t="s">
        <v>332</v>
      </c>
      <c r="B45" s="1192" t="s">
        <v>331</v>
      </c>
      <c r="C45" s="1193">
        <v>6419</v>
      </c>
      <c r="D45" s="1194">
        <v>4707</v>
      </c>
      <c r="E45" s="1195">
        <f t="shared" si="0"/>
        <v>73.3</v>
      </c>
      <c r="F45" s="1196">
        <v>4487</v>
      </c>
      <c r="G45" s="1195">
        <f t="shared" si="1"/>
        <v>69.900000000000006</v>
      </c>
      <c r="H45" s="1197">
        <v>4770</v>
      </c>
      <c r="I45" s="1195">
        <f t="shared" si="2"/>
        <v>74.3</v>
      </c>
      <c r="J45" s="1197">
        <v>4133</v>
      </c>
      <c r="K45" s="1195">
        <f t="shared" si="2"/>
        <v>64.400000000000006</v>
      </c>
      <c r="L45" s="1197">
        <v>4789</v>
      </c>
      <c r="M45" s="1195">
        <f t="shared" si="3"/>
        <v>74.599999999999994</v>
      </c>
      <c r="N45" s="1197">
        <v>4520</v>
      </c>
      <c r="O45" s="1195">
        <f t="shared" si="4"/>
        <v>70.400000000000006</v>
      </c>
      <c r="P45" s="1197">
        <v>4135</v>
      </c>
      <c r="Q45" s="1195">
        <f t="shared" si="5"/>
        <v>64.400000000000006</v>
      </c>
      <c r="R45" s="1197">
        <v>4243</v>
      </c>
      <c r="S45" s="1195">
        <f t="shared" si="6"/>
        <v>66.099999999999994</v>
      </c>
      <c r="T45" s="1197">
        <v>4096</v>
      </c>
      <c r="U45" s="1195">
        <f t="shared" si="7"/>
        <v>63.8</v>
      </c>
      <c r="V45" s="1196">
        <v>3956</v>
      </c>
      <c r="W45" s="1195">
        <f t="shared" si="19"/>
        <v>82.2</v>
      </c>
      <c r="X45" s="1191">
        <v>2664</v>
      </c>
      <c r="Y45" s="1195">
        <f t="shared" si="20"/>
        <v>55.3</v>
      </c>
      <c r="Z45" s="1197">
        <v>4783</v>
      </c>
      <c r="AA45" s="1195">
        <f t="shared" si="8"/>
        <v>74.5</v>
      </c>
      <c r="AB45" s="1197">
        <v>4464</v>
      </c>
      <c r="AC45" s="1198">
        <f t="shared" si="9"/>
        <v>69.5</v>
      </c>
      <c r="AD45" s="1199">
        <v>6213</v>
      </c>
      <c r="AE45" s="1194">
        <v>4816</v>
      </c>
      <c r="AF45" s="1195">
        <f t="shared" si="10"/>
        <v>77.5</v>
      </c>
      <c r="AG45" s="1196">
        <v>4693</v>
      </c>
      <c r="AH45" s="1195">
        <f t="shared" si="21"/>
        <v>75.5</v>
      </c>
      <c r="AI45" s="1200">
        <v>2928</v>
      </c>
      <c r="AJ45" s="1195">
        <f t="shared" si="11"/>
        <v>47.1</v>
      </c>
      <c r="AK45" s="1197">
        <v>4583</v>
      </c>
      <c r="AL45" s="1195">
        <f t="shared" si="12"/>
        <v>73.8</v>
      </c>
      <c r="AM45" s="1201">
        <v>158</v>
      </c>
      <c r="AN45" s="1195">
        <v>2.5430548849187185</v>
      </c>
      <c r="AO45" s="1201">
        <v>212</v>
      </c>
      <c r="AP45" s="1201">
        <v>495</v>
      </c>
      <c r="AQ45" s="1197">
        <v>4778</v>
      </c>
      <c r="AR45" s="1195">
        <f t="shared" si="23"/>
        <v>76.900000000000006</v>
      </c>
      <c r="AS45" s="1197">
        <v>3752</v>
      </c>
      <c r="AT45" s="1195">
        <f>ROUND(AS45/$AD45*100,1)</f>
        <v>60.4</v>
      </c>
      <c r="AU45" s="1197">
        <v>3789</v>
      </c>
      <c r="AV45" s="1198">
        <f t="shared" si="14"/>
        <v>61</v>
      </c>
      <c r="AW45" s="1202">
        <v>7012</v>
      </c>
      <c r="AX45" s="1197">
        <v>4913</v>
      </c>
      <c r="AY45" s="1203">
        <f t="shared" si="15"/>
        <v>70.099999999999994</v>
      </c>
      <c r="AZ45" s="1197">
        <v>4900</v>
      </c>
      <c r="BA45" s="1203">
        <f t="shared" si="16"/>
        <v>69.900000000000006</v>
      </c>
      <c r="BB45" s="1197">
        <v>4829</v>
      </c>
      <c r="BC45" s="1204">
        <f t="shared" si="17"/>
        <v>68.900000000000006</v>
      </c>
      <c r="BD45" s="1205">
        <v>5164</v>
      </c>
      <c r="BE45" s="1197">
        <v>6496</v>
      </c>
      <c r="BF45" s="1206">
        <v>3787</v>
      </c>
      <c r="BG45" s="1205">
        <v>3814</v>
      </c>
      <c r="BH45" s="1207">
        <f t="shared" si="18"/>
        <v>59.4</v>
      </c>
      <c r="BI45" s="1190" t="s">
        <v>352</v>
      </c>
      <c r="BJ45" s="1191">
        <f t="shared" si="22"/>
        <v>116040</v>
      </c>
    </row>
    <row r="46" spans="1:62" s="1190" customFormat="1" ht="17.100000000000001" customHeight="1" x14ac:dyDescent="0.25">
      <c r="A46" s="1170">
        <v>97</v>
      </c>
      <c r="B46" s="1192" t="s">
        <v>39</v>
      </c>
      <c r="C46" s="1193">
        <v>861</v>
      </c>
      <c r="D46" s="1194">
        <v>748</v>
      </c>
      <c r="E46" s="1195">
        <f t="shared" si="0"/>
        <v>86.9</v>
      </c>
      <c r="F46" s="1196">
        <v>486</v>
      </c>
      <c r="G46" s="1195">
        <f t="shared" si="1"/>
        <v>56.4</v>
      </c>
      <c r="H46" s="1197">
        <v>747</v>
      </c>
      <c r="I46" s="1195">
        <f t="shared" si="2"/>
        <v>86.8</v>
      </c>
      <c r="J46" s="1197">
        <v>586</v>
      </c>
      <c r="K46" s="1195">
        <f t="shared" si="2"/>
        <v>68.099999999999994</v>
      </c>
      <c r="L46" s="1197">
        <v>744</v>
      </c>
      <c r="M46" s="1195">
        <f t="shared" si="3"/>
        <v>86.4</v>
      </c>
      <c r="N46" s="1197">
        <v>696</v>
      </c>
      <c r="O46" s="1195">
        <f t="shared" si="4"/>
        <v>80.8</v>
      </c>
      <c r="P46" s="1197">
        <v>594</v>
      </c>
      <c r="Q46" s="1195">
        <f t="shared" si="5"/>
        <v>69</v>
      </c>
      <c r="R46" s="1197">
        <v>519</v>
      </c>
      <c r="S46" s="1195">
        <f t="shared" si="6"/>
        <v>60.3</v>
      </c>
      <c r="T46" s="1197">
        <v>540</v>
      </c>
      <c r="U46" s="1195">
        <f t="shared" si="7"/>
        <v>62.7</v>
      </c>
      <c r="V46" s="1196">
        <v>342</v>
      </c>
      <c r="W46" s="1195">
        <f t="shared" si="19"/>
        <v>53</v>
      </c>
      <c r="X46" s="1191">
        <v>184</v>
      </c>
      <c r="Y46" s="1195">
        <f t="shared" si="20"/>
        <v>28.5</v>
      </c>
      <c r="Z46" s="1197">
        <v>777</v>
      </c>
      <c r="AA46" s="1195">
        <f t="shared" si="8"/>
        <v>90.2</v>
      </c>
      <c r="AB46" s="1197">
        <v>706</v>
      </c>
      <c r="AC46" s="1198">
        <f t="shared" si="9"/>
        <v>82</v>
      </c>
      <c r="AD46" s="1199">
        <v>878</v>
      </c>
      <c r="AE46" s="1194">
        <v>814</v>
      </c>
      <c r="AF46" s="1195">
        <f t="shared" si="10"/>
        <v>92.7</v>
      </c>
      <c r="AG46" s="1196">
        <v>775</v>
      </c>
      <c r="AH46" s="1195">
        <f t="shared" si="21"/>
        <v>88.3</v>
      </c>
      <c r="AI46" s="1200">
        <v>850</v>
      </c>
      <c r="AJ46" s="1195">
        <f t="shared" si="11"/>
        <v>96.8</v>
      </c>
      <c r="AK46" s="1197">
        <v>774</v>
      </c>
      <c r="AL46" s="1195">
        <f t="shared" si="12"/>
        <v>88.2</v>
      </c>
      <c r="AM46" s="1201">
        <v>26</v>
      </c>
      <c r="AN46" s="1195">
        <v>2.9612756264236904</v>
      </c>
      <c r="AO46" s="1201">
        <v>61</v>
      </c>
      <c r="AP46" s="1201">
        <v>71</v>
      </c>
      <c r="AQ46" s="1197">
        <v>791</v>
      </c>
      <c r="AR46" s="1195">
        <f t="shared" si="23"/>
        <v>90.1</v>
      </c>
      <c r="AS46" s="1197">
        <v>533</v>
      </c>
      <c r="AT46" s="1195">
        <f t="shared" si="13"/>
        <v>60.7</v>
      </c>
      <c r="AU46" s="1197">
        <v>533</v>
      </c>
      <c r="AV46" s="1198">
        <f t="shared" si="14"/>
        <v>60.7</v>
      </c>
      <c r="AW46" s="1202">
        <v>841</v>
      </c>
      <c r="AX46" s="1197">
        <v>763</v>
      </c>
      <c r="AY46" s="1203">
        <f t="shared" si="15"/>
        <v>90.7</v>
      </c>
      <c r="AZ46" s="1197">
        <v>759</v>
      </c>
      <c r="BA46" s="1203">
        <f t="shared" si="16"/>
        <v>90.2</v>
      </c>
      <c r="BB46" s="1197">
        <v>742</v>
      </c>
      <c r="BC46" s="1204">
        <f t="shared" si="17"/>
        <v>88.2</v>
      </c>
      <c r="BD46" s="1205">
        <v>412</v>
      </c>
      <c r="BE46" s="1197">
        <v>1200</v>
      </c>
      <c r="BF46" s="1206">
        <v>342</v>
      </c>
      <c r="BG46" s="1205">
        <v>434</v>
      </c>
      <c r="BH46" s="1207">
        <f t="shared" si="18"/>
        <v>50.4</v>
      </c>
      <c r="BI46" s="1190" t="s">
        <v>344</v>
      </c>
      <c r="BJ46" s="1191">
        <f t="shared" si="22"/>
        <v>17115</v>
      </c>
    </row>
    <row r="47" spans="1:62" s="1190" customFormat="1" ht="17.100000000000001" customHeight="1" thickBot="1" x14ac:dyDescent="0.3">
      <c r="A47" s="1170">
        <v>99</v>
      </c>
      <c r="B47" s="1211" t="s">
        <v>40</v>
      </c>
      <c r="C47" s="1212">
        <v>1718</v>
      </c>
      <c r="D47" s="1213">
        <v>1286</v>
      </c>
      <c r="E47" s="1214">
        <f t="shared" si="0"/>
        <v>74.900000000000006</v>
      </c>
      <c r="F47" s="1215">
        <v>843</v>
      </c>
      <c r="G47" s="1214">
        <f t="shared" si="1"/>
        <v>49.1</v>
      </c>
      <c r="H47" s="1216">
        <v>1903</v>
      </c>
      <c r="I47" s="1214">
        <f t="shared" si="2"/>
        <v>110.8</v>
      </c>
      <c r="J47" s="1216">
        <v>1156</v>
      </c>
      <c r="K47" s="1214">
        <f t="shared" si="2"/>
        <v>67.3</v>
      </c>
      <c r="L47" s="1216">
        <v>1900</v>
      </c>
      <c r="M47" s="1214">
        <f t="shared" si="3"/>
        <v>110.6</v>
      </c>
      <c r="N47" s="1216">
        <v>1535</v>
      </c>
      <c r="O47" s="1214">
        <f t="shared" si="4"/>
        <v>89.3</v>
      </c>
      <c r="P47" s="1216">
        <v>1159</v>
      </c>
      <c r="Q47" s="1214">
        <f t="shared" si="5"/>
        <v>67.5</v>
      </c>
      <c r="R47" s="1216">
        <v>1249</v>
      </c>
      <c r="S47" s="1214">
        <f t="shared" si="6"/>
        <v>72.7</v>
      </c>
      <c r="T47" s="1216">
        <v>1136</v>
      </c>
      <c r="U47" s="1214">
        <f t="shared" si="7"/>
        <v>66.099999999999994</v>
      </c>
      <c r="V47" s="1215">
        <v>1116</v>
      </c>
      <c r="W47" s="1214">
        <f t="shared" si="19"/>
        <v>86.6</v>
      </c>
      <c r="X47" s="1217">
        <v>541</v>
      </c>
      <c r="Y47" s="1214">
        <f t="shared" si="20"/>
        <v>42</v>
      </c>
      <c r="Z47" s="1216">
        <v>1842</v>
      </c>
      <c r="AA47" s="1214">
        <f t="shared" si="8"/>
        <v>107.2</v>
      </c>
      <c r="AB47" s="1216">
        <v>1430</v>
      </c>
      <c r="AC47" s="1218">
        <f t="shared" si="9"/>
        <v>83.2</v>
      </c>
      <c r="AD47" s="1219">
        <v>1875</v>
      </c>
      <c r="AE47" s="1213">
        <v>1910</v>
      </c>
      <c r="AF47" s="1214">
        <f t="shared" si="10"/>
        <v>101.9</v>
      </c>
      <c r="AG47" s="1215">
        <v>1769</v>
      </c>
      <c r="AH47" s="1214">
        <f t="shared" si="21"/>
        <v>94.3</v>
      </c>
      <c r="AI47" s="1220">
        <v>1158</v>
      </c>
      <c r="AJ47" s="1214">
        <f t="shared" si="11"/>
        <v>61.8</v>
      </c>
      <c r="AK47" s="1216">
        <v>1480</v>
      </c>
      <c r="AL47" s="1214">
        <f t="shared" si="12"/>
        <v>78.900000000000006</v>
      </c>
      <c r="AM47" s="1221">
        <v>150</v>
      </c>
      <c r="AN47" s="1214">
        <v>8</v>
      </c>
      <c r="AO47" s="1221">
        <v>285</v>
      </c>
      <c r="AP47" s="1221">
        <v>106</v>
      </c>
      <c r="AQ47" s="1216">
        <v>1844</v>
      </c>
      <c r="AR47" s="1214">
        <f t="shared" si="23"/>
        <v>98.3</v>
      </c>
      <c r="AS47" s="1216">
        <v>1093</v>
      </c>
      <c r="AT47" s="1214">
        <f t="shared" si="13"/>
        <v>58.3</v>
      </c>
      <c r="AU47" s="1216">
        <v>1094</v>
      </c>
      <c r="AV47" s="1218">
        <f t="shared" si="14"/>
        <v>58.3</v>
      </c>
      <c r="AW47" s="1222">
        <v>1746</v>
      </c>
      <c r="AX47" s="1216">
        <v>1269</v>
      </c>
      <c r="AY47" s="1223">
        <f t="shared" si="15"/>
        <v>72.7</v>
      </c>
      <c r="AZ47" s="1216">
        <v>1272</v>
      </c>
      <c r="BA47" s="1223">
        <f t="shared" si="16"/>
        <v>72.900000000000006</v>
      </c>
      <c r="BB47" s="1216">
        <v>1285</v>
      </c>
      <c r="BC47" s="1224">
        <f t="shared" si="17"/>
        <v>73.599999999999994</v>
      </c>
      <c r="BD47" s="1225">
        <v>836</v>
      </c>
      <c r="BE47" s="1216">
        <v>1460</v>
      </c>
      <c r="BF47" s="1226">
        <v>750</v>
      </c>
      <c r="BG47" s="1225">
        <v>1093</v>
      </c>
      <c r="BH47" s="1227">
        <f t="shared" si="18"/>
        <v>63.6</v>
      </c>
      <c r="BI47" s="1190" t="s">
        <v>346</v>
      </c>
      <c r="BJ47" s="1191">
        <f t="shared" si="22"/>
        <v>34857</v>
      </c>
    </row>
    <row r="48" spans="1:62" s="1190" customFormat="1" ht="20.100000000000001" customHeight="1" thickBot="1" x14ac:dyDescent="0.3">
      <c r="B48" s="1228" t="s">
        <v>41</v>
      </c>
      <c r="C48" s="1229">
        <f>SUM(C11:C47)</f>
        <v>737172</v>
      </c>
      <c r="D48" s="1230">
        <f>SUM(D11:D47)</f>
        <v>651143</v>
      </c>
      <c r="E48" s="1231">
        <f t="shared" si="0"/>
        <v>88.3</v>
      </c>
      <c r="F48" s="1230">
        <f>SUM(F11:F47)</f>
        <v>634978</v>
      </c>
      <c r="G48" s="1231">
        <f t="shared" si="1"/>
        <v>86.1</v>
      </c>
      <c r="H48" s="1230">
        <f>SUM(H11:H47)</f>
        <v>681906</v>
      </c>
      <c r="I48" s="1231">
        <f t="shared" si="2"/>
        <v>92.5</v>
      </c>
      <c r="J48" s="1230">
        <f>SUM(J11:J47)</f>
        <v>672215</v>
      </c>
      <c r="K48" s="1231">
        <f t="shared" si="2"/>
        <v>91.2</v>
      </c>
      <c r="L48" s="1230">
        <f>SUM(L11:L47)</f>
        <v>682772</v>
      </c>
      <c r="M48" s="1231">
        <f t="shared" si="3"/>
        <v>92.6</v>
      </c>
      <c r="N48" s="1230">
        <f>SUM(N11:N47)</f>
        <v>678091</v>
      </c>
      <c r="O48" s="1231">
        <f t="shared" si="4"/>
        <v>92</v>
      </c>
      <c r="P48" s="1230">
        <f>SUM(P11:P47)</f>
        <v>672693</v>
      </c>
      <c r="Q48" s="1231">
        <f t="shared" si="5"/>
        <v>91.3</v>
      </c>
      <c r="R48" s="1230">
        <f>SUM(R11:R47)</f>
        <v>663493</v>
      </c>
      <c r="S48" s="1231">
        <f t="shared" si="6"/>
        <v>90</v>
      </c>
      <c r="T48" s="1230">
        <f>SUM(T11:T47)</f>
        <v>663891</v>
      </c>
      <c r="U48" s="1231">
        <f t="shared" si="7"/>
        <v>90.1</v>
      </c>
      <c r="V48" s="1230">
        <f>SUM(V11:V47)</f>
        <v>550071</v>
      </c>
      <c r="W48" s="1231">
        <f t="shared" si="19"/>
        <v>99.5</v>
      </c>
      <c r="X48" s="1230">
        <f>SUM(X11:X47)</f>
        <v>391102</v>
      </c>
      <c r="Y48" s="1231">
        <f t="shared" si="20"/>
        <v>70.7</v>
      </c>
      <c r="Z48" s="1230">
        <f>SUM(Z11:Z47)</f>
        <v>673617</v>
      </c>
      <c r="AA48" s="1231">
        <f t="shared" si="8"/>
        <v>91.4</v>
      </c>
      <c r="AB48" s="1230">
        <f>SUM(AB11:AB47)</f>
        <v>660121</v>
      </c>
      <c r="AC48" s="1231">
        <f t="shared" si="9"/>
        <v>89.5</v>
      </c>
      <c r="AD48" s="1232">
        <f>SUM(AD11:AD47)</f>
        <v>745582</v>
      </c>
      <c r="AE48" s="1230">
        <f>SUM(AE11:AE47)</f>
        <v>690479</v>
      </c>
      <c r="AF48" s="1231">
        <f t="shared" si="10"/>
        <v>92.6</v>
      </c>
      <c r="AG48" s="1230">
        <f>SUM(AG11:AG47)</f>
        <v>680174</v>
      </c>
      <c r="AH48" s="1231">
        <f t="shared" si="10"/>
        <v>91.2</v>
      </c>
      <c r="AI48" s="1230">
        <f>SUM(AI11:AI47)</f>
        <v>574664</v>
      </c>
      <c r="AJ48" s="1231">
        <f t="shared" si="11"/>
        <v>77.099999999999994</v>
      </c>
      <c r="AK48" s="1230">
        <f>SUM(AK11:AK47)</f>
        <v>663969</v>
      </c>
      <c r="AL48" s="1231">
        <f t="shared" si="12"/>
        <v>89.1</v>
      </c>
      <c r="AM48" s="1230">
        <f>SUM(AM11:AM47)</f>
        <v>4952</v>
      </c>
      <c r="AN48" s="1231">
        <f>AM48/AD48*100</f>
        <v>0.66417912449603123</v>
      </c>
      <c r="AO48" s="1230">
        <f>SUM(AO11:AO47)</f>
        <v>6296</v>
      </c>
      <c r="AP48" s="1230">
        <f>SUM(AP11:AP47)</f>
        <v>9061</v>
      </c>
      <c r="AQ48" s="1230">
        <f>SUM(AQ11:AQ47)</f>
        <v>691249</v>
      </c>
      <c r="AR48" s="1231">
        <f>ROUND(AQ48/$AD48*100,1)</f>
        <v>92.7</v>
      </c>
      <c r="AS48" s="1230">
        <f>SUM(AS11:AS47)</f>
        <v>638835</v>
      </c>
      <c r="AT48" s="1231">
        <f t="shared" si="13"/>
        <v>85.7</v>
      </c>
      <c r="AU48" s="1230">
        <f>SUM(AU11:AU47)</f>
        <v>639972</v>
      </c>
      <c r="AV48" s="1231">
        <f t="shared" si="14"/>
        <v>85.8</v>
      </c>
      <c r="AW48" s="1233">
        <f>SUM(AW11:AW47)</f>
        <v>766755</v>
      </c>
      <c r="AX48" s="1230">
        <f>SUM(AX11:AX47)</f>
        <v>667705</v>
      </c>
      <c r="AY48" s="1234">
        <f t="shared" si="15"/>
        <v>87.1</v>
      </c>
      <c r="AZ48" s="1230">
        <f>SUM(AZ11:AZ47)</f>
        <v>665255</v>
      </c>
      <c r="BA48" s="1234">
        <f t="shared" si="16"/>
        <v>86.8</v>
      </c>
      <c r="BB48" s="1230">
        <f>SUM(BB11:BB47)</f>
        <v>664784</v>
      </c>
      <c r="BC48" s="1234">
        <f t="shared" si="17"/>
        <v>86.7</v>
      </c>
      <c r="BD48" s="1235">
        <f>SUM(BD11:BD47)</f>
        <v>340294</v>
      </c>
      <c r="BE48" s="1235">
        <f>SUM(BE11:BE47)</f>
        <v>1423217</v>
      </c>
      <c r="BF48" s="1236">
        <f>SUM(BF11:BF47)</f>
        <v>443815</v>
      </c>
      <c r="BG48" s="1237">
        <f>SUM(BG11:BG47)</f>
        <v>551762</v>
      </c>
      <c r="BH48" s="1238">
        <f t="shared" si="18"/>
        <v>74.8</v>
      </c>
      <c r="BI48" s="1239"/>
      <c r="BJ48" s="1240">
        <f>SUM(BJ11:BJ47)</f>
        <v>17080814</v>
      </c>
    </row>
    <row r="49" spans="2:61" x14ac:dyDescent="0.3">
      <c r="B49" s="1242" t="s">
        <v>227</v>
      </c>
      <c r="D49" s="1243"/>
      <c r="E49" s="1244">
        <f>E48-$B$60</f>
        <v>-11.659999999999997</v>
      </c>
      <c r="F49" s="1244"/>
      <c r="G49" s="1244">
        <f>G48-$B$60</f>
        <v>-13.86</v>
      </c>
      <c r="K49" s="1244">
        <f>K48-$B$60</f>
        <v>-8.7599999999999909</v>
      </c>
      <c r="L49" s="1243"/>
      <c r="M49" s="1244">
        <f>M48-$B$60</f>
        <v>-7.3599999999999994</v>
      </c>
      <c r="N49" s="1243"/>
      <c r="O49" s="1244">
        <f>O48-$B$60</f>
        <v>-7.9599999999999937</v>
      </c>
      <c r="P49" s="1243"/>
      <c r="Q49" s="1244">
        <f>Q48-$B$60</f>
        <v>-8.6599999999999966</v>
      </c>
      <c r="R49" s="1243"/>
      <c r="S49" s="1244">
        <f>S48-$B$60</f>
        <v>-9.9599999999999937</v>
      </c>
      <c r="T49" s="1243"/>
      <c r="U49" s="1244">
        <f>U48-$B$60</f>
        <v>-9.86</v>
      </c>
      <c r="V49" s="1244"/>
      <c r="W49" s="1244"/>
      <c r="X49" s="1244"/>
      <c r="Y49" s="1244"/>
      <c r="Z49" s="1243"/>
      <c r="AA49" s="1244">
        <f>AA48-$B$60</f>
        <v>-8.5599999999999881</v>
      </c>
      <c r="AB49" s="1243"/>
      <c r="AC49" s="1244">
        <f>AC48-$B$60</f>
        <v>-10.459999999999994</v>
      </c>
      <c r="AD49" s="1243"/>
      <c r="AE49" s="1243"/>
      <c r="AF49" s="1244">
        <f>AF48-$B$60</f>
        <v>-7.3599999999999994</v>
      </c>
      <c r="AG49" s="1244"/>
      <c r="AH49" s="1244"/>
      <c r="AI49" s="1243"/>
      <c r="AJ49" s="1244">
        <f>AJ48-$B$60</f>
        <v>-22.86</v>
      </c>
      <c r="AK49" s="1243"/>
      <c r="AL49" s="1244">
        <f>AL48-$B$60</f>
        <v>-10.86</v>
      </c>
      <c r="AN49" s="1245"/>
      <c r="AT49" s="1244">
        <f>AT48-$B$60</f>
        <v>-14.259999999999991</v>
      </c>
      <c r="AV49" s="1244">
        <f>AV48-$B$60</f>
        <v>-14.159999999999997</v>
      </c>
      <c r="AY49" s="1244">
        <f>AY48-$B$60</f>
        <v>-12.86</v>
      </c>
      <c r="BA49" s="1244">
        <f>BA48-$B$60</f>
        <v>-13.159999999999997</v>
      </c>
      <c r="BC49" s="1244">
        <f>BC48-$B$60</f>
        <v>-13.259999999999991</v>
      </c>
      <c r="BD49" s="1244"/>
    </row>
    <row r="50" spans="2:61" x14ac:dyDescent="0.3">
      <c r="B50" s="1246" t="s">
        <v>228</v>
      </c>
      <c r="C50" s="1247">
        <v>42705</v>
      </c>
      <c r="D50" s="1248">
        <v>12</v>
      </c>
      <c r="I50" s="1249"/>
      <c r="K50" s="1250"/>
    </row>
    <row r="51" spans="2:61" x14ac:dyDescent="0.3">
      <c r="B51" s="1241" t="s">
        <v>229</v>
      </c>
      <c r="C51" s="1249">
        <v>42791</v>
      </c>
      <c r="D51" s="1190"/>
      <c r="E51" s="1190">
        <f>ROUND((E48/$D$50)*12,1)</f>
        <v>88.3</v>
      </c>
      <c r="F51" s="1190"/>
      <c r="G51" s="1190"/>
      <c r="I51" s="1249"/>
      <c r="K51" s="1190">
        <f>ROUND((K48/$D$50)*12,1)</f>
        <v>91.2</v>
      </c>
      <c r="L51" s="1190"/>
      <c r="M51" s="1190"/>
      <c r="N51" s="1190"/>
      <c r="O51" s="1190"/>
      <c r="P51" s="1190"/>
      <c r="Q51" s="1190">
        <f>ROUND((Q48/$D$50)*12,1)</f>
        <v>91.3</v>
      </c>
      <c r="R51" s="1190"/>
      <c r="S51" s="1190"/>
      <c r="T51" s="1190"/>
      <c r="U51" s="1190"/>
      <c r="V51" s="1190"/>
      <c r="W51" s="1190"/>
      <c r="X51" s="1190"/>
      <c r="Y51" s="1190"/>
      <c r="Z51" s="1190"/>
      <c r="AA51" s="1190"/>
      <c r="AB51" s="1190"/>
      <c r="AC51" s="1190"/>
      <c r="AD51" s="1190"/>
      <c r="AE51" s="1190"/>
      <c r="AF51" s="1251">
        <f>ROUND((AF48/$D$50)*12,1)</f>
        <v>92.6</v>
      </c>
      <c r="AG51" s="1251"/>
      <c r="AH51" s="1251"/>
      <c r="AI51" s="1190"/>
      <c r="AJ51" s="1190">
        <f>ROUND((AJ48/$D$50)*12,1)</f>
        <v>77.099999999999994</v>
      </c>
      <c r="AK51" s="1190"/>
      <c r="AL51" s="1190"/>
      <c r="AM51" s="1190"/>
      <c r="AN51" s="1190"/>
      <c r="AO51" s="1190"/>
      <c r="AP51" s="1190"/>
      <c r="AQ51" s="1190"/>
      <c r="AR51" s="1190">
        <f>ROUND((AR48/$D$50)*12,1)</f>
        <v>92.7</v>
      </c>
      <c r="BC51" s="1190">
        <f>ROUND((BC48/$D$50)*12,1)</f>
        <v>86.7</v>
      </c>
    </row>
    <row r="52" spans="2:61" x14ac:dyDescent="0.3">
      <c r="B52" s="1252" t="s">
        <v>223</v>
      </c>
      <c r="C52" s="1253"/>
      <c r="I52" s="1253"/>
    </row>
    <row r="53" spans="2:61" x14ac:dyDescent="0.3">
      <c r="B53" s="1254" t="s">
        <v>463</v>
      </c>
      <c r="C53" s="1255">
        <v>100</v>
      </c>
      <c r="D53" s="1256"/>
      <c r="F53" s="1273" t="s">
        <v>462</v>
      </c>
      <c r="I53" s="1255"/>
    </row>
    <row r="54" spans="2:61" x14ac:dyDescent="0.3">
      <c r="B54" s="1257" t="s">
        <v>335</v>
      </c>
      <c r="C54" s="1255">
        <v>95</v>
      </c>
      <c r="D54" s="1255">
        <v>99.99</v>
      </c>
      <c r="H54" s="1255"/>
      <c r="I54" s="1255"/>
    </row>
    <row r="55" spans="2:61" x14ac:dyDescent="0.3">
      <c r="B55" s="1258" t="s">
        <v>240</v>
      </c>
      <c r="C55" s="1255">
        <v>90</v>
      </c>
      <c r="D55" s="1255">
        <v>94.99</v>
      </c>
      <c r="H55" s="1255"/>
      <c r="I55" s="1255"/>
    </row>
    <row r="56" spans="2:61" x14ac:dyDescent="0.3">
      <c r="B56" s="1259" t="s">
        <v>241</v>
      </c>
      <c r="C56" s="1255">
        <v>80</v>
      </c>
      <c r="D56" s="1255">
        <v>89.99</v>
      </c>
      <c r="H56" s="1255"/>
      <c r="I56" s="1255"/>
    </row>
    <row r="57" spans="2:61" ht="18.75" customHeight="1" x14ac:dyDescent="0.3">
      <c r="B57" s="1260" t="s">
        <v>242</v>
      </c>
      <c r="C57" s="1255">
        <v>50</v>
      </c>
      <c r="D57" s="1255">
        <v>79.989999999999995</v>
      </c>
      <c r="H57" s="1255"/>
      <c r="I57" s="1255"/>
    </row>
    <row r="58" spans="2:61" ht="15.75" customHeight="1" x14ac:dyDescent="0.3">
      <c r="B58" s="1261" t="s">
        <v>464</v>
      </c>
      <c r="C58" s="1255">
        <v>0.1</v>
      </c>
      <c r="D58" s="1255">
        <v>49.99</v>
      </c>
      <c r="H58" s="1255"/>
      <c r="I58" s="1262"/>
    </row>
    <row r="59" spans="2:61" ht="15" customHeight="1" x14ac:dyDescent="0.3">
      <c r="B59" s="1263" t="s">
        <v>244</v>
      </c>
      <c r="C59" s="1264"/>
      <c r="D59" s="1265"/>
      <c r="H59" s="1266"/>
      <c r="I59" s="1266"/>
    </row>
    <row r="60" spans="2:61" ht="15" customHeight="1" x14ac:dyDescent="0.3">
      <c r="B60" s="1267">
        <v>99.96</v>
      </c>
      <c r="C60" s="1268"/>
      <c r="D60" s="1268"/>
    </row>
    <row r="61" spans="2:61" x14ac:dyDescent="0.3">
      <c r="C61" s="1269">
        <f>SUBTOTAL(9,C11:C47)</f>
        <v>737172</v>
      </c>
      <c r="D61" s="1269">
        <f t="shared" ref="D61:BF61" si="24">SUBTOTAL(9,D11:D47)</f>
        <v>651143</v>
      </c>
      <c r="E61" s="1270">
        <f t="shared" ref="E61" si="25">ROUND(D61/$C61*100,1)</f>
        <v>88.3</v>
      </c>
      <c r="F61" s="1269">
        <f t="shared" si="24"/>
        <v>634978</v>
      </c>
      <c r="G61" s="1270">
        <f t="shared" ref="G61" si="26">ROUND(F61/$C61*100,1)</f>
        <v>86.1</v>
      </c>
      <c r="H61" s="1269">
        <f t="shared" si="24"/>
        <v>681906</v>
      </c>
      <c r="I61" s="1270">
        <f t="shared" ref="I61" si="27">ROUND(H61/$C61*100,1)</f>
        <v>92.5</v>
      </c>
      <c r="J61" s="1269">
        <f t="shared" si="24"/>
        <v>672215</v>
      </c>
      <c r="K61" s="1270">
        <f t="shared" ref="K61" si="28">ROUND(J61/$C61*100,1)</f>
        <v>91.2</v>
      </c>
      <c r="L61" s="1269">
        <f t="shared" si="24"/>
        <v>682772</v>
      </c>
      <c r="M61" s="1270">
        <f t="shared" ref="M61" si="29">ROUND(L61/$C61*100,1)</f>
        <v>92.6</v>
      </c>
      <c r="N61" s="1269">
        <f t="shared" si="24"/>
        <v>678091</v>
      </c>
      <c r="O61" s="1270">
        <f t="shared" ref="O61" si="30">ROUND(N61/$C61*100,1)</f>
        <v>92</v>
      </c>
      <c r="P61" s="1269">
        <f t="shared" si="24"/>
        <v>672693</v>
      </c>
      <c r="Q61" s="1270">
        <f t="shared" ref="Q61:Q62" si="31">ROUND(P61/$C61*100,1)</f>
        <v>91.3</v>
      </c>
      <c r="R61" s="1269">
        <f t="shared" si="24"/>
        <v>663493</v>
      </c>
      <c r="S61" s="1270">
        <f t="shared" ref="S61" si="32">ROUND(R61/C61*100,1)</f>
        <v>90</v>
      </c>
      <c r="T61" s="1269">
        <f t="shared" si="24"/>
        <v>663891</v>
      </c>
      <c r="U61" s="1270">
        <f t="shared" ref="U61" si="33">ROUND(T61/$C61*100,1)</f>
        <v>90.1</v>
      </c>
      <c r="V61" s="1269">
        <f t="shared" si="24"/>
        <v>550071</v>
      </c>
      <c r="W61" s="1270">
        <f t="shared" ref="W61" si="34">ROUND(V61/($C61/12*9)*100,1)</f>
        <v>99.5</v>
      </c>
      <c r="X61" s="1269">
        <f t="shared" si="24"/>
        <v>391102</v>
      </c>
      <c r="Y61" s="1270">
        <f t="shared" ref="Y61" si="35">ROUND(X61/($C61/12*9)*100,1)</f>
        <v>70.7</v>
      </c>
      <c r="Z61" s="1269">
        <f t="shared" si="24"/>
        <v>673617</v>
      </c>
      <c r="AA61" s="1270">
        <f t="shared" ref="AA61" si="36">ROUND(Z61/$C61*100,1)</f>
        <v>91.4</v>
      </c>
      <c r="AB61" s="1269">
        <f t="shared" si="24"/>
        <v>660121</v>
      </c>
      <c r="AC61" s="1270">
        <f t="shared" ref="AC61" si="37">ROUND(AB61/$C61*100,1)</f>
        <v>89.5</v>
      </c>
      <c r="AD61" s="1269">
        <f t="shared" si="24"/>
        <v>745582</v>
      </c>
      <c r="AE61" s="1269">
        <f t="shared" si="24"/>
        <v>690479</v>
      </c>
      <c r="AF61" s="1270">
        <f t="shared" ref="AF61:AF62" si="38">ROUND(AE61/$AD61*100,1)</f>
        <v>92.6</v>
      </c>
      <c r="AG61" s="1269">
        <f t="shared" si="24"/>
        <v>680174</v>
      </c>
      <c r="AH61" s="1270">
        <f t="shared" ref="AH61" si="39">ROUND(AG61/$AD61*100,1)</f>
        <v>91.2</v>
      </c>
      <c r="AI61" s="1269">
        <f t="shared" si="24"/>
        <v>574664</v>
      </c>
      <c r="AJ61" s="1270">
        <f t="shared" ref="AJ61" si="40">ROUND(AI61/$AD61*100,1)</f>
        <v>77.099999999999994</v>
      </c>
      <c r="AK61" s="1269">
        <f t="shared" si="24"/>
        <v>663969</v>
      </c>
      <c r="AL61" s="1270">
        <f t="shared" ref="AL61" si="41">ROUND(AK61/$AD61*100,1)</f>
        <v>89.1</v>
      </c>
      <c r="AM61" s="1269">
        <f t="shared" si="24"/>
        <v>4952</v>
      </c>
      <c r="AN61" s="1270">
        <f>AM61/AD61*100</f>
        <v>0.66417912449603123</v>
      </c>
      <c r="AO61" s="1269">
        <f t="shared" si="24"/>
        <v>6296</v>
      </c>
      <c r="AP61" s="1269">
        <f t="shared" si="24"/>
        <v>9061</v>
      </c>
      <c r="AQ61" s="1269">
        <f t="shared" si="24"/>
        <v>691249</v>
      </c>
      <c r="AR61" s="1270">
        <f t="shared" ref="AR61" si="42">ROUND(AQ61/$AD61*100,1)</f>
        <v>92.7</v>
      </c>
      <c r="AS61" s="1269">
        <f t="shared" si="24"/>
        <v>638835</v>
      </c>
      <c r="AT61" s="1270">
        <f t="shared" ref="AT61" si="43">ROUND(AS61/$AD61*100,1)</f>
        <v>85.7</v>
      </c>
      <c r="AU61" s="1269">
        <f t="shared" si="24"/>
        <v>639972</v>
      </c>
      <c r="AV61" s="1270">
        <f t="shared" ref="AV61" si="44">ROUND(AU61/$AD61*100,1)</f>
        <v>85.8</v>
      </c>
      <c r="AW61" s="1269">
        <f t="shared" si="24"/>
        <v>766755</v>
      </c>
      <c r="AX61" s="1269">
        <f t="shared" si="24"/>
        <v>667705</v>
      </c>
      <c r="AY61" s="1271">
        <f t="shared" ref="AY61" si="45">ROUND(AX61/$AW61*100,1)</f>
        <v>87.1</v>
      </c>
      <c r="AZ61" s="1269">
        <f t="shared" si="24"/>
        <v>665255</v>
      </c>
      <c r="BA61" s="1271">
        <f t="shared" ref="BA61" si="46">ROUND(AZ61/$AW61*100,1)</f>
        <v>86.8</v>
      </c>
      <c r="BB61" s="1269">
        <f t="shared" si="24"/>
        <v>664784</v>
      </c>
      <c r="BC61" s="1271">
        <f t="shared" ref="BC61" si="47">ROUND(BB61/$AW61*100,1)</f>
        <v>86.7</v>
      </c>
      <c r="BD61" s="1271"/>
      <c r="BE61" s="1269">
        <f t="shared" si="24"/>
        <v>1423217</v>
      </c>
      <c r="BF61" s="1269">
        <f t="shared" si="24"/>
        <v>443815</v>
      </c>
      <c r="BG61" s="1269"/>
      <c r="BH61" s="1269"/>
    </row>
    <row r="62" spans="2:61" x14ac:dyDescent="0.3">
      <c r="C62" s="1272">
        <f>SUBTOTAL(9,C11:C47)</f>
        <v>737172</v>
      </c>
      <c r="P62" s="1272">
        <f>SUBTOTAL(9,P11:P47)</f>
        <v>672693</v>
      </c>
      <c r="Q62" s="1274">
        <f t="shared" si="31"/>
        <v>91.3</v>
      </c>
      <c r="AD62" s="1241">
        <f>SUBTOTAL(9,AD11:AD47)</f>
        <v>745582</v>
      </c>
      <c r="AE62" s="1241">
        <f>SUBTOTAL(9,AE11:AE47)</f>
        <v>690479</v>
      </c>
      <c r="AF62" s="1275">
        <f t="shared" si="38"/>
        <v>92.6</v>
      </c>
      <c r="AG62" s="1276"/>
      <c r="AH62" s="1276"/>
      <c r="BI62" s="1241">
        <v>0</v>
      </c>
    </row>
    <row r="64" spans="2:61" x14ac:dyDescent="0.3">
      <c r="K64" s="1277" t="s">
        <v>349</v>
      </c>
      <c r="L64" s="1278"/>
      <c r="M64" s="1279">
        <f>I61</f>
        <v>92.5</v>
      </c>
    </row>
    <row r="65" spans="3:34" x14ac:dyDescent="0.3">
      <c r="C65" s="1280"/>
      <c r="K65" s="1281" t="s">
        <v>350</v>
      </c>
      <c r="L65" s="1282"/>
      <c r="M65" s="1279">
        <f>K61</f>
        <v>91.2</v>
      </c>
      <c r="P65" s="1280"/>
      <c r="Q65" s="1280"/>
      <c r="AD65" s="1276"/>
      <c r="AE65" s="1276"/>
      <c r="AF65" s="1276"/>
      <c r="AG65" s="1276"/>
      <c r="AH65" s="1276"/>
    </row>
    <row r="66" spans="3:34" x14ac:dyDescent="0.3">
      <c r="C66" s="1280"/>
      <c r="K66" s="1283" t="s">
        <v>351</v>
      </c>
      <c r="L66" s="1284"/>
      <c r="M66" s="1279">
        <f>Q61</f>
        <v>91.3</v>
      </c>
      <c r="P66" s="1280"/>
      <c r="Q66" s="1280"/>
      <c r="AD66" s="1276"/>
      <c r="AE66" s="1276"/>
      <c r="AF66" s="1276"/>
      <c r="AG66" s="1276"/>
      <c r="AH66" s="1276"/>
    </row>
    <row r="67" spans="3:34" x14ac:dyDescent="0.3">
      <c r="C67" s="1280"/>
      <c r="K67" s="1285" t="s">
        <v>353</v>
      </c>
      <c r="L67" s="1286"/>
      <c r="M67" s="1279">
        <f>E61</f>
        <v>88.3</v>
      </c>
      <c r="P67" s="1280"/>
      <c r="Q67" s="1280"/>
      <c r="AD67" s="1276"/>
      <c r="AE67" s="1276"/>
      <c r="AF67" s="1276"/>
      <c r="AG67" s="1276"/>
      <c r="AH67" s="1276"/>
    </row>
    <row r="68" spans="3:34" x14ac:dyDescent="0.3">
      <c r="C68" s="1280"/>
      <c r="K68" s="1287" t="s">
        <v>226</v>
      </c>
      <c r="L68" s="1288"/>
      <c r="M68" s="1289">
        <f>G61</f>
        <v>86.1</v>
      </c>
      <c r="P68" s="1280"/>
      <c r="Q68" s="1280"/>
      <c r="AD68" s="1276"/>
      <c r="AE68" s="1276"/>
      <c r="AF68" s="1276"/>
      <c r="AG68" s="1276"/>
      <c r="AH68" s="1276"/>
    </row>
    <row r="69" spans="3:34" x14ac:dyDescent="0.3">
      <c r="K69" s="1290" t="s">
        <v>456</v>
      </c>
      <c r="L69" s="1291"/>
      <c r="M69" s="1289">
        <f>AC61</f>
        <v>89.5</v>
      </c>
    </row>
    <row r="70" spans="3:34" x14ac:dyDescent="0.3">
      <c r="K70" s="1292" t="s">
        <v>457</v>
      </c>
      <c r="L70" s="1293"/>
      <c r="M70" s="1279">
        <f>AF61</f>
        <v>92.6</v>
      </c>
    </row>
    <row r="71" spans="3:34" x14ac:dyDescent="0.3">
      <c r="K71" s="1294" t="s">
        <v>458</v>
      </c>
      <c r="L71" s="1295"/>
      <c r="M71" s="1289">
        <f>AR61</f>
        <v>92.7</v>
      </c>
    </row>
    <row r="72" spans="3:34" x14ac:dyDescent="0.3">
      <c r="K72" s="1296" t="s">
        <v>459</v>
      </c>
      <c r="L72" s="1297"/>
      <c r="M72" s="1289">
        <f>AL61</f>
        <v>89.1</v>
      </c>
    </row>
    <row r="73" spans="3:34" x14ac:dyDescent="0.3">
      <c r="K73" s="1298" t="s">
        <v>460</v>
      </c>
      <c r="L73" s="1299"/>
      <c r="M73" s="1279">
        <f>BC61</f>
        <v>86.7</v>
      </c>
    </row>
    <row r="74" spans="3:34" x14ac:dyDescent="0.3">
      <c r="K74" s="1300" t="s">
        <v>358</v>
      </c>
      <c r="L74" s="1301"/>
      <c r="M74" s="1302">
        <f>B60</f>
        <v>99.96</v>
      </c>
    </row>
  </sheetData>
  <mergeCells count="25">
    <mergeCell ref="N9:O9"/>
    <mergeCell ref="D9:E9"/>
    <mergeCell ref="F9:G9"/>
    <mergeCell ref="H9:I9"/>
    <mergeCell ref="J9:K9"/>
    <mergeCell ref="L9:M9"/>
    <mergeCell ref="AM9:AN9"/>
    <mergeCell ref="P9:Q9"/>
    <mergeCell ref="R9:S9"/>
    <mergeCell ref="T9:U9"/>
    <mergeCell ref="V9:W9"/>
    <mergeCell ref="X9:Y9"/>
    <mergeCell ref="Z9:AA9"/>
    <mergeCell ref="AB9:AC9"/>
    <mergeCell ref="AE9:AF9"/>
    <mergeCell ref="AG9:AH9"/>
    <mergeCell ref="AI9:AJ9"/>
    <mergeCell ref="AK9:AL9"/>
    <mergeCell ref="BG9:BH9"/>
    <mergeCell ref="AQ9:AR9"/>
    <mergeCell ref="AS9:AT9"/>
    <mergeCell ref="AU9:AV9"/>
    <mergeCell ref="AX9:AY9"/>
    <mergeCell ref="AZ9:BA9"/>
    <mergeCell ref="BB9:BC9"/>
  </mergeCells>
  <conditionalFormatting sqref="E11:E48 G11:G48 I11:I48 K11:K48 M11:M48 O11:O48 Q11:Q48 S11:S48 U11:U48 W11:W48 Y11:Y48 AA11:AA48 AC11:AC48 AL11:AL48 AR11:AR48 AT11:AT48 AV11:AV48 AY11:AY48 BA11:BA48 AF11:AF48 AH11:AH48 BC11:BC48">
    <cfRule type="cellIs" dxfId="641" priority="136" stopIfTrue="1" operator="between">
      <formula>$C$58</formula>
      <formula>$D$58</formula>
    </cfRule>
    <cfRule type="cellIs" dxfId="640" priority="137" stopIfTrue="1" operator="between">
      <formula>$C$57</formula>
      <formula>$D$57</formula>
    </cfRule>
    <cfRule type="cellIs" dxfId="639" priority="138" stopIfTrue="1" operator="between">
      <formula>$C$56</formula>
      <formula>$D$56</formula>
    </cfRule>
    <cfRule type="cellIs" dxfId="638" priority="139" stopIfTrue="1" operator="between">
      <formula>$C$55</formula>
      <formula>$D$55</formula>
    </cfRule>
    <cfRule type="cellIs" dxfId="637" priority="140" stopIfTrue="1" operator="between">
      <formula>$C$54</formula>
      <formula>$D$54</formula>
    </cfRule>
    <cfRule type="cellIs" dxfId="636" priority="141" stopIfTrue="1" operator="greaterThanOrEqual">
      <formula>$C$53</formula>
    </cfRule>
  </conditionalFormatting>
  <conditionalFormatting sqref="E61">
    <cfRule type="cellIs" dxfId="635" priority="130" stopIfTrue="1" operator="between">
      <formula>$C$58</formula>
      <formula>$D$58</formula>
    </cfRule>
    <cfRule type="cellIs" dxfId="634" priority="131" stopIfTrue="1" operator="between">
      <formula>$C$57</formula>
      <formula>$D$57</formula>
    </cfRule>
    <cfRule type="cellIs" dxfId="633" priority="132" stopIfTrue="1" operator="between">
      <formula>$C$56</formula>
      <formula>$D$56</formula>
    </cfRule>
    <cfRule type="cellIs" dxfId="632" priority="133" stopIfTrue="1" operator="between">
      <formula>$C$55</formula>
      <formula>$D$55</formula>
    </cfRule>
    <cfRule type="cellIs" dxfId="631" priority="134" stopIfTrue="1" operator="between">
      <formula>$C$54</formula>
      <formula>$D$54</formula>
    </cfRule>
    <cfRule type="cellIs" dxfId="630" priority="135" stopIfTrue="1" operator="greaterThan">
      <formula>$C$53</formula>
    </cfRule>
  </conditionalFormatting>
  <conditionalFormatting sqref="G61">
    <cfRule type="cellIs" dxfId="629" priority="124" stopIfTrue="1" operator="between">
      <formula>$C$58</formula>
      <formula>$D$58</formula>
    </cfRule>
    <cfRule type="cellIs" dxfId="628" priority="125" stopIfTrue="1" operator="between">
      <formula>$C$57</formula>
      <formula>$D$57</formula>
    </cfRule>
    <cfRule type="cellIs" dxfId="627" priority="126" stopIfTrue="1" operator="between">
      <formula>$C$56</formula>
      <formula>$D$56</formula>
    </cfRule>
    <cfRule type="cellIs" dxfId="626" priority="127" stopIfTrue="1" operator="between">
      <formula>$C$55</formula>
      <formula>$D$55</formula>
    </cfRule>
    <cfRule type="cellIs" dxfId="625" priority="128" stopIfTrue="1" operator="between">
      <formula>$C$54</formula>
      <formula>$D$54</formula>
    </cfRule>
    <cfRule type="cellIs" dxfId="624" priority="129" stopIfTrue="1" operator="greaterThan">
      <formula>$C$53</formula>
    </cfRule>
  </conditionalFormatting>
  <conditionalFormatting sqref="I61">
    <cfRule type="cellIs" dxfId="623" priority="118" stopIfTrue="1" operator="between">
      <formula>$C$58</formula>
      <formula>$D$58</formula>
    </cfRule>
    <cfRule type="cellIs" dxfId="622" priority="119" stopIfTrue="1" operator="between">
      <formula>$C$57</formula>
      <formula>$D$57</formula>
    </cfRule>
    <cfRule type="cellIs" dxfId="621" priority="120" stopIfTrue="1" operator="between">
      <formula>$C$56</formula>
      <formula>$D$56</formula>
    </cfRule>
    <cfRule type="cellIs" dxfId="620" priority="121" stopIfTrue="1" operator="between">
      <formula>$C$55</formula>
      <formula>$D$55</formula>
    </cfRule>
    <cfRule type="cellIs" dxfId="619" priority="122" stopIfTrue="1" operator="between">
      <formula>$C$54</formula>
      <formula>$D$54</formula>
    </cfRule>
    <cfRule type="cellIs" dxfId="618" priority="123" stopIfTrue="1" operator="greaterThan">
      <formula>$C$53</formula>
    </cfRule>
  </conditionalFormatting>
  <conditionalFormatting sqref="K61">
    <cfRule type="cellIs" dxfId="617" priority="112" stopIfTrue="1" operator="between">
      <formula>$C$58</formula>
      <formula>$D$58</formula>
    </cfRule>
    <cfRule type="cellIs" dxfId="616" priority="113" stopIfTrue="1" operator="between">
      <formula>$C$57</formula>
      <formula>$D$57</formula>
    </cfRule>
    <cfRule type="cellIs" dxfId="615" priority="114" stopIfTrue="1" operator="between">
      <formula>$C$56</formula>
      <formula>$D$56</formula>
    </cfRule>
    <cfRule type="cellIs" dxfId="614" priority="115" stopIfTrue="1" operator="between">
      <formula>$C$55</formula>
      <formula>$D$55</formula>
    </cfRule>
    <cfRule type="cellIs" dxfId="613" priority="116" stopIfTrue="1" operator="between">
      <formula>$C$54</formula>
      <formula>$D$54</formula>
    </cfRule>
    <cfRule type="cellIs" dxfId="612" priority="117" stopIfTrue="1" operator="greaterThan">
      <formula>$C$53</formula>
    </cfRule>
  </conditionalFormatting>
  <conditionalFormatting sqref="M61">
    <cfRule type="cellIs" dxfId="611" priority="106" stopIfTrue="1" operator="between">
      <formula>$C$58</formula>
      <formula>$D$58</formula>
    </cfRule>
    <cfRule type="cellIs" dxfId="610" priority="107" stopIfTrue="1" operator="between">
      <formula>$C$57</formula>
      <formula>$D$57</formula>
    </cfRule>
    <cfRule type="cellIs" dxfId="609" priority="108" stopIfTrue="1" operator="between">
      <formula>$C$56</formula>
      <formula>$D$56</formula>
    </cfRule>
    <cfRule type="cellIs" dxfId="608" priority="109" stopIfTrue="1" operator="between">
      <formula>$C$55</formula>
      <formula>$D$55</formula>
    </cfRule>
    <cfRule type="cellIs" dxfId="607" priority="110" stopIfTrue="1" operator="between">
      <formula>$C$54</formula>
      <formula>$D$54</formula>
    </cfRule>
    <cfRule type="cellIs" dxfId="606" priority="111" stopIfTrue="1" operator="greaterThan">
      <formula>$C$53</formula>
    </cfRule>
  </conditionalFormatting>
  <conditionalFormatting sqref="O61">
    <cfRule type="cellIs" dxfId="605" priority="100" stopIfTrue="1" operator="between">
      <formula>$C$58</formula>
      <formula>$D$58</formula>
    </cfRule>
    <cfRule type="cellIs" dxfId="604" priority="101" stopIfTrue="1" operator="between">
      <formula>$C$57</formula>
      <formula>$D$57</formula>
    </cfRule>
    <cfRule type="cellIs" dxfId="603" priority="102" stopIfTrue="1" operator="between">
      <formula>$C$56</formula>
      <formula>$D$56</formula>
    </cfRule>
    <cfRule type="cellIs" dxfId="602" priority="103" stopIfTrue="1" operator="between">
      <formula>$C$55</formula>
      <formula>$D$55</formula>
    </cfRule>
    <cfRule type="cellIs" dxfId="601" priority="104" stopIfTrue="1" operator="between">
      <formula>$C$54</formula>
      <formula>$D$54</formula>
    </cfRule>
    <cfRule type="cellIs" dxfId="600" priority="105" stopIfTrue="1" operator="greaterThan">
      <formula>$C$53</formula>
    </cfRule>
  </conditionalFormatting>
  <conditionalFormatting sqref="Q61">
    <cfRule type="cellIs" dxfId="599" priority="94" stopIfTrue="1" operator="between">
      <formula>$C$58</formula>
      <formula>$D$58</formula>
    </cfRule>
    <cfRule type="cellIs" dxfId="598" priority="95" stopIfTrue="1" operator="between">
      <formula>$C$57</formula>
      <formula>$D$57</formula>
    </cfRule>
    <cfRule type="cellIs" dxfId="597" priority="96" stopIfTrue="1" operator="between">
      <formula>$C$56</formula>
      <formula>$D$56</formula>
    </cfRule>
    <cfRule type="cellIs" dxfId="596" priority="97" stopIfTrue="1" operator="between">
      <formula>$C$55</formula>
      <formula>$D$55</formula>
    </cfRule>
    <cfRule type="cellIs" dxfId="595" priority="98" stopIfTrue="1" operator="between">
      <formula>$C$54</formula>
      <formula>$D$54</formula>
    </cfRule>
    <cfRule type="cellIs" dxfId="594" priority="99" stopIfTrue="1" operator="greaterThan">
      <formula>$C$53</formula>
    </cfRule>
  </conditionalFormatting>
  <conditionalFormatting sqref="S61">
    <cfRule type="cellIs" dxfId="593" priority="88" stopIfTrue="1" operator="between">
      <formula>$C$58</formula>
      <formula>$D$58</formula>
    </cfRule>
    <cfRule type="cellIs" dxfId="592" priority="89" stopIfTrue="1" operator="between">
      <formula>$C$57</formula>
      <formula>$D$57</formula>
    </cfRule>
    <cfRule type="cellIs" dxfId="591" priority="90" stopIfTrue="1" operator="between">
      <formula>$C$56</formula>
      <formula>$D$56</formula>
    </cfRule>
    <cfRule type="cellIs" dxfId="590" priority="91" stopIfTrue="1" operator="between">
      <formula>$C$55</formula>
      <formula>$D$55</formula>
    </cfRule>
    <cfRule type="cellIs" dxfId="589" priority="92" stopIfTrue="1" operator="between">
      <formula>$C$54</formula>
      <formula>$D$54</formula>
    </cfRule>
    <cfRule type="cellIs" dxfId="588" priority="93" stopIfTrue="1" operator="greaterThan">
      <formula>$C$53</formula>
    </cfRule>
  </conditionalFormatting>
  <conditionalFormatting sqref="U61">
    <cfRule type="cellIs" dxfId="587" priority="82" stopIfTrue="1" operator="between">
      <formula>$C$58</formula>
      <formula>$D$58</formula>
    </cfRule>
    <cfRule type="cellIs" dxfId="586" priority="83" stopIfTrue="1" operator="between">
      <formula>$C$57</formula>
      <formula>$D$57</formula>
    </cfRule>
    <cfRule type="cellIs" dxfId="585" priority="84" stopIfTrue="1" operator="between">
      <formula>$C$56</formula>
      <formula>$D$56</formula>
    </cfRule>
    <cfRule type="cellIs" dxfId="584" priority="85" stopIfTrue="1" operator="between">
      <formula>$C$55</formula>
      <formula>$D$55</formula>
    </cfRule>
    <cfRule type="cellIs" dxfId="583" priority="86" stopIfTrue="1" operator="between">
      <formula>$C$54</formula>
      <formula>$D$54</formula>
    </cfRule>
    <cfRule type="cellIs" dxfId="582" priority="87" stopIfTrue="1" operator="greaterThan">
      <formula>$C$53</formula>
    </cfRule>
  </conditionalFormatting>
  <conditionalFormatting sqref="W61">
    <cfRule type="cellIs" dxfId="581" priority="76" stopIfTrue="1" operator="between">
      <formula>$C$58</formula>
      <formula>$D$58</formula>
    </cfRule>
    <cfRule type="cellIs" dxfId="580" priority="77" stopIfTrue="1" operator="between">
      <formula>$C$57</formula>
      <formula>$D$57</formula>
    </cfRule>
    <cfRule type="cellIs" dxfId="579" priority="78" stopIfTrue="1" operator="between">
      <formula>$C$56</formula>
      <formula>$D$56</formula>
    </cfRule>
    <cfRule type="cellIs" dxfId="578" priority="79" stopIfTrue="1" operator="between">
      <formula>$C$55</formula>
      <formula>$D$55</formula>
    </cfRule>
    <cfRule type="cellIs" dxfId="577" priority="80" stopIfTrue="1" operator="between">
      <formula>$C$54</formula>
      <formula>$D$54</formula>
    </cfRule>
    <cfRule type="cellIs" dxfId="576" priority="81" stopIfTrue="1" operator="greaterThan">
      <formula>$C$53</formula>
    </cfRule>
  </conditionalFormatting>
  <conditionalFormatting sqref="Y61">
    <cfRule type="cellIs" dxfId="575" priority="70" stopIfTrue="1" operator="between">
      <formula>$C$58</formula>
      <formula>$D$58</formula>
    </cfRule>
    <cfRule type="cellIs" dxfId="574" priority="71" stopIfTrue="1" operator="between">
      <formula>$C$57</formula>
      <formula>$D$57</formula>
    </cfRule>
    <cfRule type="cellIs" dxfId="573" priority="72" stopIfTrue="1" operator="between">
      <formula>$C$56</formula>
      <formula>$D$56</formula>
    </cfRule>
    <cfRule type="cellIs" dxfId="572" priority="73" stopIfTrue="1" operator="between">
      <formula>$C$55</formula>
      <formula>$D$55</formula>
    </cfRule>
    <cfRule type="cellIs" dxfId="571" priority="74" stopIfTrue="1" operator="between">
      <formula>$C$54</formula>
      <formula>$D$54</formula>
    </cfRule>
    <cfRule type="cellIs" dxfId="570" priority="75" stopIfTrue="1" operator="greaterThan">
      <formula>$C$53</formula>
    </cfRule>
  </conditionalFormatting>
  <conditionalFormatting sqref="AA61">
    <cfRule type="cellIs" dxfId="569" priority="64" stopIfTrue="1" operator="between">
      <formula>$C$58</formula>
      <formula>$D$58</formula>
    </cfRule>
    <cfRule type="cellIs" dxfId="568" priority="65" stopIfTrue="1" operator="between">
      <formula>$C$57</formula>
      <formula>$D$57</formula>
    </cfRule>
    <cfRule type="cellIs" dxfId="567" priority="66" stopIfTrue="1" operator="between">
      <formula>$C$56</formula>
      <formula>$D$56</formula>
    </cfRule>
    <cfRule type="cellIs" dxfId="566" priority="67" stopIfTrue="1" operator="between">
      <formula>$C$55</formula>
      <formula>$D$55</formula>
    </cfRule>
    <cfRule type="cellIs" dxfId="565" priority="68" stopIfTrue="1" operator="between">
      <formula>$C$54</formula>
      <formula>$D$54</formula>
    </cfRule>
    <cfRule type="cellIs" dxfId="564" priority="69" stopIfTrue="1" operator="greaterThan">
      <formula>$C$53</formula>
    </cfRule>
  </conditionalFormatting>
  <conditionalFormatting sqref="AC61">
    <cfRule type="cellIs" dxfId="563" priority="58" stopIfTrue="1" operator="between">
      <formula>$C$58</formula>
      <formula>$D$58</formula>
    </cfRule>
    <cfRule type="cellIs" dxfId="562" priority="59" stopIfTrue="1" operator="between">
      <formula>$C$57</formula>
      <formula>$D$57</formula>
    </cfRule>
    <cfRule type="cellIs" dxfId="561" priority="60" stopIfTrue="1" operator="between">
      <formula>$C$56</formula>
      <formula>$D$56</formula>
    </cfRule>
    <cfRule type="cellIs" dxfId="560" priority="61" stopIfTrue="1" operator="between">
      <formula>$C$55</formula>
      <formula>$D$55</formula>
    </cfRule>
    <cfRule type="cellIs" dxfId="559" priority="62" stopIfTrue="1" operator="between">
      <formula>$C$54</formula>
      <formula>$D$54</formula>
    </cfRule>
    <cfRule type="cellIs" dxfId="558" priority="63" stopIfTrue="1" operator="greaterThan">
      <formula>$C$53</formula>
    </cfRule>
  </conditionalFormatting>
  <conditionalFormatting sqref="AF61">
    <cfRule type="cellIs" dxfId="557" priority="52" stopIfTrue="1" operator="between">
      <formula>$C$58</formula>
      <formula>$D$58</formula>
    </cfRule>
    <cfRule type="cellIs" dxfId="556" priority="53" stopIfTrue="1" operator="between">
      <formula>$C$57</formula>
      <formula>$D$57</formula>
    </cfRule>
    <cfRule type="cellIs" dxfId="555" priority="54" stopIfTrue="1" operator="between">
      <formula>$C$56</formula>
      <formula>$D$56</formula>
    </cfRule>
    <cfRule type="cellIs" dxfId="554" priority="55" stopIfTrue="1" operator="between">
      <formula>$C$55</formula>
      <formula>$D$55</formula>
    </cfRule>
    <cfRule type="cellIs" dxfId="553" priority="56" stopIfTrue="1" operator="between">
      <formula>$C$54</formula>
      <formula>$D$54</formula>
    </cfRule>
    <cfRule type="cellIs" dxfId="552" priority="57" stopIfTrue="1" operator="greaterThan">
      <formula>$C$53</formula>
    </cfRule>
  </conditionalFormatting>
  <conditionalFormatting sqref="AH61">
    <cfRule type="cellIs" dxfId="551" priority="46" stopIfTrue="1" operator="between">
      <formula>$C$58</formula>
      <formula>$D$58</formula>
    </cfRule>
    <cfRule type="cellIs" dxfId="550" priority="47" stopIfTrue="1" operator="between">
      <formula>$C$57</formula>
      <formula>$D$57</formula>
    </cfRule>
    <cfRule type="cellIs" dxfId="549" priority="48" stopIfTrue="1" operator="between">
      <formula>$C$56</formula>
      <formula>$D$56</formula>
    </cfRule>
    <cfRule type="cellIs" dxfId="548" priority="49" stopIfTrue="1" operator="between">
      <formula>$C$55</formula>
      <formula>$D$55</formula>
    </cfRule>
    <cfRule type="cellIs" dxfId="547" priority="50" stopIfTrue="1" operator="between">
      <formula>$C$54</formula>
      <formula>$D$54</formula>
    </cfRule>
    <cfRule type="cellIs" dxfId="546" priority="51" stopIfTrue="1" operator="greaterThan">
      <formula>$C$53</formula>
    </cfRule>
  </conditionalFormatting>
  <conditionalFormatting sqref="AL61">
    <cfRule type="cellIs" dxfId="545" priority="40" stopIfTrue="1" operator="between">
      <formula>$C$58</formula>
      <formula>$D$58</formula>
    </cfRule>
    <cfRule type="cellIs" dxfId="544" priority="41" stopIfTrue="1" operator="between">
      <formula>$C$57</formula>
      <formula>$D$57</formula>
    </cfRule>
    <cfRule type="cellIs" dxfId="543" priority="42" stopIfTrue="1" operator="between">
      <formula>$C$56</formula>
      <formula>$D$56</formula>
    </cfRule>
    <cfRule type="cellIs" dxfId="542" priority="43" stopIfTrue="1" operator="between">
      <formula>$C$55</formula>
      <formula>$D$55</formula>
    </cfRule>
    <cfRule type="cellIs" dxfId="541" priority="44" stopIfTrue="1" operator="between">
      <formula>$C$54</formula>
      <formula>$D$54</formula>
    </cfRule>
    <cfRule type="cellIs" dxfId="540" priority="45" stopIfTrue="1" operator="greaterThan">
      <formula>$C$53</formula>
    </cfRule>
  </conditionalFormatting>
  <conditionalFormatting sqref="AR61">
    <cfRule type="cellIs" dxfId="539" priority="34" stopIfTrue="1" operator="between">
      <formula>$C$58</formula>
      <formula>$D$58</formula>
    </cfRule>
    <cfRule type="cellIs" dxfId="538" priority="35" stopIfTrue="1" operator="between">
      <formula>$C$57</formula>
      <formula>$D$57</formula>
    </cfRule>
    <cfRule type="cellIs" dxfId="537" priority="36" stopIfTrue="1" operator="between">
      <formula>$C$56</formula>
      <formula>$D$56</formula>
    </cfRule>
    <cfRule type="cellIs" dxfId="536" priority="37" stopIfTrue="1" operator="between">
      <formula>$C$55</formula>
      <formula>$D$55</formula>
    </cfRule>
    <cfRule type="cellIs" dxfId="535" priority="38" stopIfTrue="1" operator="between">
      <formula>$C$54</formula>
      <formula>$D$54</formula>
    </cfRule>
    <cfRule type="cellIs" dxfId="534" priority="39" stopIfTrue="1" operator="greaterThan">
      <formula>$C$53</formula>
    </cfRule>
  </conditionalFormatting>
  <conditionalFormatting sqref="AT61">
    <cfRule type="cellIs" dxfId="533" priority="28" stopIfTrue="1" operator="between">
      <formula>$C$58</formula>
      <formula>$D$58</formula>
    </cfRule>
    <cfRule type="cellIs" dxfId="532" priority="29" stopIfTrue="1" operator="between">
      <formula>$C$57</formula>
      <formula>$D$57</formula>
    </cfRule>
    <cfRule type="cellIs" dxfId="531" priority="30" stopIfTrue="1" operator="between">
      <formula>$C$56</formula>
      <formula>$D$56</formula>
    </cfRule>
    <cfRule type="cellIs" dxfId="530" priority="31" stopIfTrue="1" operator="between">
      <formula>$C$55</formula>
      <formula>$D$55</formula>
    </cfRule>
    <cfRule type="cellIs" dxfId="529" priority="32" stopIfTrue="1" operator="between">
      <formula>$C$54</formula>
      <formula>$D$54</formula>
    </cfRule>
    <cfRule type="cellIs" dxfId="528" priority="33" stopIfTrue="1" operator="greaterThan">
      <formula>$C$53</formula>
    </cfRule>
  </conditionalFormatting>
  <conditionalFormatting sqref="AV61">
    <cfRule type="cellIs" dxfId="527" priority="22" stopIfTrue="1" operator="between">
      <formula>$C$58</formula>
      <formula>$D$58</formula>
    </cfRule>
    <cfRule type="cellIs" dxfId="526" priority="23" stopIfTrue="1" operator="between">
      <formula>$C$57</formula>
      <formula>$D$57</formula>
    </cfRule>
    <cfRule type="cellIs" dxfId="525" priority="24" stopIfTrue="1" operator="between">
      <formula>$C$56</formula>
      <formula>$D$56</formula>
    </cfRule>
    <cfRule type="cellIs" dxfId="524" priority="25" stopIfTrue="1" operator="between">
      <formula>$C$55</formula>
      <formula>$D$55</formula>
    </cfRule>
    <cfRule type="cellIs" dxfId="523" priority="26" stopIfTrue="1" operator="between">
      <formula>$C$54</formula>
      <formula>$D$54</formula>
    </cfRule>
    <cfRule type="cellIs" dxfId="522" priority="27" stopIfTrue="1" operator="greaterThan">
      <formula>$C$53</formula>
    </cfRule>
  </conditionalFormatting>
  <conditionalFormatting sqref="AY61">
    <cfRule type="cellIs" dxfId="521" priority="16" stopIfTrue="1" operator="between">
      <formula>$C$58</formula>
      <formula>$D$58</formula>
    </cfRule>
    <cfRule type="cellIs" dxfId="520" priority="17" stopIfTrue="1" operator="between">
      <formula>$C$57</formula>
      <formula>$D$57</formula>
    </cfRule>
    <cfRule type="cellIs" dxfId="519" priority="18" stopIfTrue="1" operator="between">
      <formula>$C$56</formula>
      <formula>$D$56</formula>
    </cfRule>
    <cfRule type="cellIs" dxfId="518" priority="19" stopIfTrue="1" operator="between">
      <formula>$C$55</formula>
      <formula>$D$55</formula>
    </cfRule>
    <cfRule type="cellIs" dxfId="517" priority="20" stopIfTrue="1" operator="between">
      <formula>$C$54</formula>
      <formula>$D$54</formula>
    </cfRule>
    <cfRule type="cellIs" dxfId="516" priority="21" stopIfTrue="1" operator="greaterThan">
      <formula>$C$53</formula>
    </cfRule>
  </conditionalFormatting>
  <conditionalFormatting sqref="BA61">
    <cfRule type="cellIs" dxfId="515" priority="10" stopIfTrue="1" operator="between">
      <formula>$C$58</formula>
      <formula>$D$58</formula>
    </cfRule>
    <cfRule type="cellIs" dxfId="514" priority="11" stopIfTrue="1" operator="between">
      <formula>$C$57</formula>
      <formula>$D$57</formula>
    </cfRule>
    <cfRule type="cellIs" dxfId="513" priority="12" stopIfTrue="1" operator="between">
      <formula>$C$56</formula>
      <formula>$D$56</formula>
    </cfRule>
    <cfRule type="cellIs" dxfId="512" priority="13" stopIfTrue="1" operator="between">
      <formula>$C$55</formula>
      <formula>$D$55</formula>
    </cfRule>
    <cfRule type="cellIs" dxfId="511" priority="14" stopIfTrue="1" operator="between">
      <formula>$C$54</formula>
      <formula>$D$54</formula>
    </cfRule>
    <cfRule type="cellIs" dxfId="510" priority="15" stopIfTrue="1" operator="greaterThan">
      <formula>$C$53</formula>
    </cfRule>
  </conditionalFormatting>
  <conditionalFormatting sqref="BC61:BD61">
    <cfRule type="cellIs" dxfId="509" priority="4" stopIfTrue="1" operator="between">
      <formula>$C$58</formula>
      <formula>$D$58</formula>
    </cfRule>
    <cfRule type="cellIs" dxfId="508" priority="5" stopIfTrue="1" operator="between">
      <formula>$C$57</formula>
      <formula>$D$57</formula>
    </cfRule>
    <cfRule type="cellIs" dxfId="507" priority="6" stopIfTrue="1" operator="between">
      <formula>$C$56</formula>
      <formula>$D$56</formula>
    </cfRule>
    <cfRule type="cellIs" dxfId="506" priority="7" stopIfTrue="1" operator="between">
      <formula>$C$55</formula>
      <formula>$D$55</formula>
    </cfRule>
    <cfRule type="cellIs" dxfId="505" priority="8" stopIfTrue="1" operator="between">
      <formula>$C$54</formula>
      <formula>$D$54</formula>
    </cfRule>
    <cfRule type="cellIs" dxfId="504" priority="9" stopIfTrue="1" operator="greaterThan">
      <formula>$C$53</formula>
    </cfRule>
  </conditionalFormatting>
  <printOptions horizontalCentered="1"/>
  <pageMargins left="0.31496062992125984" right="0.19685039370078741" top="0.98425196850393704" bottom="0.31496062992125984" header="0.23622047244094491" footer="0.19685039370078741"/>
  <pageSetup scale="60" orientation="landscape" r:id="rId1"/>
  <headerFooter>
    <oddHeader>&amp;L                        &amp;G&amp;C&amp;"-,Negrita"Ministerio Salud y  Protección Social
República de Colombia
Dirección de Promoción y Prevención - Programa - PAI
Coberturas de Vacunación por Biologicos y  Departamento - Diciembre  2016</oddHeader>
    <oddFooter>&amp;C** &amp;F **&amp;R&amp;D - &amp;T        .</oddFooter>
  </headerFooter>
  <colBreaks count="1" manualBreakCount="1">
    <brk id="29" min="8" max="49" man="1"/>
  </colBreaks>
  <drawing r:id="rId2"/>
  <legacyDrawingHF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01"/>
  <sheetViews>
    <sheetView zoomScale="90" zoomScaleNormal="90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"/>
    </sheetView>
  </sheetViews>
  <sheetFormatPr baseColWidth="10" defaultColWidth="11.42578125" defaultRowHeight="16.5" x14ac:dyDescent="0.3"/>
  <cols>
    <col min="1" max="1" width="4.5703125" style="1362" customWidth="1"/>
    <col min="2" max="2" width="17.28515625" style="1362" customWidth="1"/>
    <col min="3" max="3" width="15" style="1362" customWidth="1"/>
    <col min="4" max="4" width="9.42578125" style="1362" customWidth="1"/>
    <col min="5" max="5" width="7.140625" style="1362" customWidth="1"/>
    <col min="6" max="6" width="9.140625" style="1362" customWidth="1"/>
    <col min="7" max="7" width="6.85546875" style="1362" customWidth="1"/>
    <col min="8" max="8" width="8.42578125" style="1362" customWidth="1"/>
    <col min="9" max="9" width="6.85546875" style="1362" customWidth="1"/>
    <col min="10" max="10" width="8.5703125" style="1362" customWidth="1"/>
    <col min="11" max="11" width="7.42578125" style="1362" customWidth="1"/>
    <col min="12" max="12" width="8" style="1362" customWidth="1"/>
    <col min="13" max="13" width="6.85546875" style="1362" customWidth="1"/>
    <col min="14" max="14" width="7.7109375" style="1362" customWidth="1"/>
    <col min="15" max="15" width="7" style="1362" customWidth="1"/>
    <col min="16" max="16" width="7.42578125" style="1362" customWidth="1"/>
    <col min="17" max="17" width="6.85546875" style="1362" customWidth="1"/>
    <col min="18" max="18" width="7.85546875" style="1362" customWidth="1"/>
    <col min="19" max="19" width="7.42578125" style="1362" customWidth="1"/>
    <col min="20" max="20" width="7.7109375" style="1362" customWidth="1"/>
    <col min="21" max="21" width="7.140625" style="1362" customWidth="1"/>
    <col min="22" max="22" width="7.7109375" style="1362" customWidth="1"/>
    <col min="23" max="23" width="6.85546875" style="1362" customWidth="1"/>
    <col min="24" max="24" width="7.42578125" style="1362" customWidth="1"/>
    <col min="25" max="25" width="8.28515625" style="1362" customWidth="1"/>
    <col min="26" max="26" width="7.7109375" style="1362" customWidth="1"/>
    <col min="27" max="27" width="7.5703125" style="1362" customWidth="1"/>
    <col min="28" max="28" width="7.42578125" style="1362" customWidth="1"/>
    <col min="29" max="29" width="6.140625" style="1362" customWidth="1"/>
    <col min="30" max="30" width="7.7109375" style="1362" customWidth="1"/>
    <col min="31" max="31" width="6.7109375" style="1362" customWidth="1"/>
    <col min="32" max="32" width="7.5703125" style="1362" customWidth="1"/>
    <col min="33" max="33" width="7.42578125" style="1362" customWidth="1"/>
    <col min="34" max="34" width="14" style="1362" customWidth="1"/>
    <col min="35" max="35" width="7.42578125" style="1362" customWidth="1"/>
    <col min="36" max="36" width="6.5703125" style="1362" customWidth="1"/>
    <col min="37" max="37" width="7.7109375" style="1362" customWidth="1"/>
    <col min="38" max="38" width="6.7109375" style="1362" customWidth="1"/>
    <col min="39" max="39" width="7.42578125" style="1362" customWidth="1"/>
    <col min="40" max="40" width="7.140625" style="1362" customWidth="1"/>
    <col min="41" max="41" width="7.42578125" style="1362" customWidth="1"/>
    <col min="42" max="42" width="6.5703125" style="1362" customWidth="1"/>
    <col min="43" max="43" width="7.28515625" style="1362" customWidth="1"/>
    <col min="44" max="44" width="6.140625" style="1362" customWidth="1"/>
    <col min="45" max="45" width="7.28515625" style="1362" customWidth="1"/>
    <col min="46" max="46" width="8.42578125" style="1362" customWidth="1"/>
    <col min="47" max="47" width="7.42578125" style="1362" customWidth="1"/>
    <col min="48" max="48" width="6.42578125" style="1362" customWidth="1"/>
    <col min="49" max="49" width="7.85546875" style="1362" bestFit="1" customWidth="1"/>
    <col min="50" max="50" width="7.140625" style="1362" customWidth="1"/>
    <col min="51" max="51" width="7.7109375" style="1362" customWidth="1"/>
    <col min="52" max="52" width="6" style="1362" customWidth="1"/>
    <col min="53" max="53" width="11.5703125" style="1362" customWidth="1"/>
    <col min="54" max="54" width="8" style="1362" customWidth="1"/>
    <col min="55" max="55" width="7.42578125" style="1362" bestFit="1" customWidth="1"/>
    <col min="56" max="56" width="8.7109375" style="1362" customWidth="1"/>
    <col min="57" max="57" width="7" style="1362" customWidth="1"/>
    <col min="58" max="58" width="8" style="1362" customWidth="1"/>
    <col min="59" max="59" width="6.5703125" style="1362" customWidth="1"/>
    <col min="60" max="60" width="9.140625" style="1362" customWidth="1"/>
    <col min="61" max="61" width="11" style="1362" customWidth="1"/>
    <col min="62" max="62" width="9.5703125" style="1362" customWidth="1"/>
    <col min="63" max="63" width="13" style="1362" customWidth="1"/>
    <col min="64" max="64" width="4.140625" style="1362" bestFit="1" customWidth="1"/>
    <col min="65" max="65" width="7.85546875" style="1362" customWidth="1"/>
    <col min="66" max="66" width="8" style="1362" customWidth="1"/>
    <col min="67" max="67" width="6.42578125" style="1362" customWidth="1"/>
    <col min="68" max="68" width="8.85546875" style="1362" bestFit="1" customWidth="1"/>
    <col min="69" max="16384" width="11.42578125" style="1362"/>
  </cols>
  <sheetData>
    <row r="1" spans="1:68" ht="12" customHeight="1" x14ac:dyDescent="0.3">
      <c r="A1" s="622"/>
      <c r="B1" s="622"/>
      <c r="C1" s="622"/>
      <c r="D1" s="622"/>
      <c r="E1" s="622"/>
      <c r="F1" s="622"/>
      <c r="G1" s="622"/>
      <c r="H1" s="622"/>
      <c r="I1" s="622"/>
      <c r="J1" s="622"/>
      <c r="K1" s="622"/>
      <c r="L1" s="622"/>
      <c r="M1" s="622"/>
      <c r="N1" s="622"/>
      <c r="O1" s="622"/>
      <c r="P1" s="622"/>
      <c r="Q1" s="622"/>
      <c r="R1" s="622"/>
      <c r="S1" s="622"/>
      <c r="T1" s="622"/>
      <c r="U1" s="622"/>
      <c r="V1" s="622"/>
      <c r="W1" s="622"/>
      <c r="X1" s="622"/>
      <c r="Y1" s="622"/>
      <c r="Z1" s="622"/>
      <c r="AA1" s="622"/>
      <c r="AB1" s="622"/>
      <c r="AC1" s="622"/>
      <c r="AD1" s="622"/>
      <c r="AE1" s="622"/>
      <c r="AF1" s="622"/>
      <c r="AG1" s="622"/>
      <c r="AH1" s="622"/>
      <c r="AI1" s="622"/>
      <c r="AJ1" s="622"/>
      <c r="AK1" s="622"/>
      <c r="AL1" s="622"/>
      <c r="AM1" s="622"/>
      <c r="AN1" s="622"/>
      <c r="AO1" s="622"/>
      <c r="AP1" s="622"/>
      <c r="AQ1" s="622"/>
      <c r="AR1" s="622"/>
      <c r="AS1" s="622"/>
      <c r="AT1" s="622"/>
      <c r="AU1" s="622"/>
      <c r="AV1" s="622"/>
      <c r="AW1" s="622"/>
      <c r="AX1" s="622"/>
      <c r="AY1" s="622"/>
      <c r="AZ1" s="622"/>
      <c r="BA1" s="622"/>
      <c r="BB1" s="622"/>
      <c r="BC1" s="622"/>
      <c r="BD1" s="622"/>
      <c r="BE1" s="622"/>
      <c r="BF1" s="622"/>
      <c r="BG1" s="622"/>
    </row>
    <row r="2" spans="1:68" ht="12" customHeight="1" x14ac:dyDescent="0.3">
      <c r="A2" s="622"/>
      <c r="B2" s="622"/>
      <c r="C2" s="622"/>
      <c r="D2" s="622"/>
      <c r="E2" s="622"/>
      <c r="F2" s="622"/>
      <c r="G2" s="622"/>
      <c r="H2" s="622"/>
      <c r="I2" s="622"/>
      <c r="J2" s="622"/>
      <c r="K2" s="622"/>
      <c r="L2" s="622"/>
      <c r="M2" s="622"/>
      <c r="N2" s="622"/>
      <c r="O2" s="622"/>
      <c r="P2" s="622"/>
      <c r="Q2" s="622"/>
      <c r="R2" s="622"/>
      <c r="S2" s="622"/>
      <c r="T2" s="622"/>
      <c r="U2" s="622"/>
      <c r="V2" s="622"/>
      <c r="W2" s="622"/>
      <c r="X2" s="622"/>
      <c r="Y2" s="622"/>
      <c r="Z2" s="622"/>
      <c r="AA2" s="622"/>
      <c r="AB2" s="622"/>
      <c r="AC2" s="622"/>
      <c r="AD2" s="622"/>
      <c r="AE2" s="622"/>
      <c r="AF2" s="622"/>
      <c r="AG2" s="622"/>
      <c r="AH2" s="622"/>
      <c r="AI2" s="622"/>
      <c r="AJ2" s="622"/>
      <c r="AK2" s="622"/>
      <c r="AL2" s="622"/>
      <c r="AM2" s="622"/>
      <c r="AN2" s="622"/>
      <c r="AO2" s="622"/>
      <c r="AP2" s="622"/>
      <c r="AQ2" s="622"/>
      <c r="AR2" s="622"/>
      <c r="AS2" s="622"/>
      <c r="AT2" s="622"/>
      <c r="AU2" s="622"/>
      <c r="AV2" s="622"/>
      <c r="AW2" s="622"/>
      <c r="AX2" s="622"/>
      <c r="AY2" s="622"/>
      <c r="AZ2" s="622"/>
      <c r="BA2" s="622"/>
      <c r="BB2" s="622"/>
      <c r="BC2" s="622"/>
      <c r="BD2" s="622"/>
      <c r="BE2" s="622"/>
      <c r="BF2" s="622"/>
      <c r="BG2" s="622"/>
    </row>
    <row r="3" spans="1:68" ht="12" customHeight="1" x14ac:dyDescent="0.3">
      <c r="A3" s="622"/>
      <c r="B3" s="622"/>
      <c r="C3" s="622"/>
      <c r="D3" s="622"/>
      <c r="E3" s="622"/>
      <c r="F3" s="622"/>
      <c r="G3" s="622"/>
      <c r="H3" s="622"/>
      <c r="I3" s="622"/>
      <c r="J3" s="622"/>
      <c r="K3" s="1856"/>
      <c r="L3" s="622"/>
      <c r="M3" s="622"/>
      <c r="N3" s="622"/>
      <c r="O3" s="622"/>
      <c r="P3" s="622"/>
      <c r="Q3" s="622"/>
      <c r="R3" s="622"/>
      <c r="S3" s="622"/>
      <c r="T3" s="622"/>
      <c r="U3" s="622"/>
      <c r="V3" s="622"/>
      <c r="W3" s="622"/>
      <c r="X3" s="622"/>
      <c r="Y3" s="622"/>
      <c r="Z3" s="622"/>
      <c r="AA3" s="622"/>
      <c r="AB3" s="622"/>
      <c r="AC3" s="622"/>
      <c r="AD3" s="622"/>
      <c r="AE3" s="622"/>
      <c r="AF3" s="622"/>
      <c r="AG3" s="622"/>
      <c r="AH3" s="622"/>
      <c r="AI3" s="622"/>
      <c r="AJ3" s="622"/>
      <c r="AK3" s="622"/>
      <c r="AL3" s="622"/>
      <c r="AM3" s="622"/>
      <c r="AN3" s="622"/>
      <c r="AO3" s="622"/>
      <c r="AP3" s="622"/>
      <c r="AQ3" s="622"/>
      <c r="AR3" s="622"/>
      <c r="AS3" s="622"/>
      <c r="AT3" s="622"/>
      <c r="AU3" s="622"/>
      <c r="AV3" s="622"/>
      <c r="AW3" s="622"/>
      <c r="AX3" s="622"/>
      <c r="AY3" s="622"/>
      <c r="AZ3" s="622"/>
      <c r="BA3" s="622"/>
      <c r="BB3" s="622"/>
      <c r="BC3" s="622"/>
      <c r="BD3" s="622"/>
      <c r="BE3" s="622"/>
      <c r="BF3" s="622"/>
      <c r="BG3" s="622"/>
    </row>
    <row r="4" spans="1:68" ht="12" customHeight="1" x14ac:dyDescent="0.3">
      <c r="A4" s="622"/>
      <c r="B4" s="622"/>
      <c r="C4" s="622"/>
      <c r="D4" s="622"/>
      <c r="E4" s="622"/>
      <c r="F4" s="622"/>
      <c r="G4" s="622"/>
      <c r="H4" s="622"/>
      <c r="I4" s="622"/>
      <c r="J4" s="622"/>
      <c r="K4" s="622"/>
      <c r="L4" s="622"/>
      <c r="M4" s="622"/>
      <c r="N4" s="622"/>
      <c r="O4" s="622"/>
      <c r="P4" s="622"/>
      <c r="Q4" s="622"/>
      <c r="R4" s="622"/>
      <c r="S4" s="622"/>
      <c r="T4" s="622"/>
      <c r="U4" s="622"/>
      <c r="V4" s="622"/>
      <c r="W4" s="622"/>
      <c r="X4" s="622"/>
      <c r="Y4" s="622"/>
      <c r="Z4" s="622"/>
      <c r="AA4" s="622"/>
      <c r="AB4" s="622"/>
      <c r="AC4" s="622"/>
      <c r="AD4" s="622"/>
      <c r="AE4" s="622"/>
      <c r="AF4" s="622"/>
      <c r="AG4" s="622"/>
      <c r="AH4" s="622"/>
      <c r="AI4" s="622"/>
      <c r="AJ4" s="622"/>
      <c r="AK4" s="622"/>
      <c r="AL4" s="622"/>
      <c r="AM4" s="622"/>
      <c r="AN4" s="622"/>
      <c r="AO4" s="622"/>
      <c r="AP4" s="622"/>
      <c r="AQ4" s="622"/>
      <c r="AR4" s="622"/>
      <c r="AS4" s="622"/>
      <c r="AT4" s="622"/>
      <c r="AU4" s="622"/>
      <c r="AV4" s="622"/>
      <c r="AW4" s="622"/>
      <c r="AX4" s="622"/>
      <c r="AY4" s="622"/>
      <c r="AZ4" s="622"/>
      <c r="BA4" s="622"/>
      <c r="BB4" s="622"/>
      <c r="BC4" s="622"/>
      <c r="BD4" s="622"/>
      <c r="BE4" s="622"/>
      <c r="BF4" s="622"/>
      <c r="BG4" s="622"/>
    </row>
    <row r="5" spans="1:68" x14ac:dyDescent="0.3">
      <c r="B5" s="702" t="s">
        <v>305</v>
      </c>
      <c r="D5" s="704" t="s">
        <v>480</v>
      </c>
      <c r="E5" s="703"/>
      <c r="F5" s="703"/>
      <c r="G5" s="703"/>
      <c r="H5" s="703"/>
      <c r="I5" s="703"/>
      <c r="J5" s="703"/>
      <c r="K5" s="703"/>
      <c r="L5" s="703"/>
      <c r="M5" s="703"/>
      <c r="N5" s="703"/>
      <c r="O5" s="703"/>
      <c r="P5" s="703"/>
      <c r="Q5" s="703"/>
      <c r="R5" s="703"/>
      <c r="S5" s="703"/>
      <c r="T5" s="703"/>
      <c r="U5" s="703"/>
      <c r="V5" s="703"/>
      <c r="W5" s="703"/>
      <c r="X5" s="703"/>
      <c r="Y5" s="703"/>
      <c r="Z5" s="703"/>
      <c r="AA5" s="703"/>
      <c r="AB5" s="703"/>
      <c r="AC5" s="703"/>
      <c r="AD5" s="703"/>
      <c r="AE5" s="703"/>
      <c r="AF5" s="703"/>
      <c r="AG5" s="703"/>
      <c r="AH5" s="703"/>
      <c r="AI5" s="703"/>
      <c r="AJ5" s="703"/>
      <c r="AK5" s="703"/>
      <c r="AL5" s="703"/>
      <c r="AM5" s="703"/>
      <c r="AN5" s="703"/>
      <c r="AO5" s="703"/>
      <c r="AP5" s="703"/>
      <c r="AQ5" s="703"/>
      <c r="AR5" s="703"/>
      <c r="AS5" s="703"/>
      <c r="AT5" s="703"/>
      <c r="AU5" s="703"/>
      <c r="AV5" s="703"/>
      <c r="AW5" s="703"/>
      <c r="AX5" s="703"/>
      <c r="AY5" s="703"/>
      <c r="AZ5" s="703"/>
      <c r="BA5" s="703"/>
      <c r="BB5" s="703"/>
      <c r="BC5" s="703"/>
      <c r="BD5" s="703"/>
      <c r="BE5" s="703"/>
      <c r="BF5" s="703"/>
      <c r="BG5" s="703"/>
    </row>
    <row r="6" spans="1:68" x14ac:dyDescent="0.3">
      <c r="B6" s="702" t="s">
        <v>306</v>
      </c>
      <c r="D6" s="705">
        <v>43196</v>
      </c>
      <c r="E6" s="703"/>
      <c r="F6" s="703"/>
      <c r="G6" s="703"/>
      <c r="H6" s="703"/>
      <c r="I6" s="703"/>
      <c r="J6" s="703"/>
      <c r="K6" s="703"/>
      <c r="L6" s="703"/>
      <c r="M6" s="703"/>
      <c r="N6" s="703"/>
      <c r="O6" s="703"/>
      <c r="P6" s="703"/>
      <c r="Q6" s="703"/>
      <c r="R6" s="703"/>
      <c r="S6" s="703"/>
      <c r="T6" s="703"/>
      <c r="U6" s="703"/>
      <c r="V6" s="703"/>
      <c r="W6" s="703"/>
      <c r="X6" s="703"/>
      <c r="Y6" s="703"/>
      <c r="Z6" s="703"/>
      <c r="AA6" s="703"/>
      <c r="AB6" s="703"/>
      <c r="AC6" s="703"/>
      <c r="AD6" s="703"/>
      <c r="AE6" s="703"/>
      <c r="AF6" s="703"/>
      <c r="AG6" s="703"/>
      <c r="AH6" s="703"/>
      <c r="AI6" s="703"/>
      <c r="AJ6" s="703"/>
      <c r="AK6" s="703"/>
      <c r="AL6" s="703"/>
      <c r="AM6" s="703"/>
      <c r="AN6" s="703"/>
      <c r="AO6" s="703"/>
      <c r="AP6" s="703"/>
      <c r="AQ6" s="703"/>
      <c r="AR6" s="703"/>
      <c r="AS6" s="703"/>
      <c r="AT6" s="703"/>
      <c r="AU6" s="703"/>
      <c r="AV6" s="703"/>
      <c r="AW6" s="703"/>
      <c r="AX6" s="703"/>
      <c r="AY6" s="703"/>
      <c r="AZ6" s="703"/>
      <c r="BA6" s="703"/>
      <c r="BB6" s="703"/>
      <c r="BC6" s="703"/>
      <c r="BD6" s="703"/>
      <c r="BE6" s="703"/>
      <c r="BF6" s="703"/>
      <c r="BG6" s="703"/>
    </row>
    <row r="7" spans="1:68" x14ac:dyDescent="0.3">
      <c r="B7" s="702" t="s">
        <v>307</v>
      </c>
      <c r="D7" s="657" t="s">
        <v>309</v>
      </c>
      <c r="E7" s="703"/>
      <c r="F7" s="703"/>
      <c r="G7" s="703"/>
      <c r="H7" s="703"/>
      <c r="I7" s="703"/>
      <c r="J7" s="703"/>
      <c r="K7" s="703"/>
      <c r="L7" s="703"/>
      <c r="M7" s="703"/>
      <c r="N7" s="703"/>
      <c r="O7" s="703"/>
      <c r="P7" s="703"/>
      <c r="Q7" s="703"/>
      <c r="R7" s="703"/>
      <c r="S7" s="703"/>
      <c r="T7" s="703"/>
      <c r="U7" s="703"/>
      <c r="V7" s="703"/>
      <c r="W7" s="703"/>
      <c r="X7" s="703"/>
      <c r="Y7" s="703"/>
      <c r="Z7" s="703"/>
      <c r="AA7" s="703"/>
      <c r="AB7" s="703"/>
      <c r="AC7" s="703"/>
      <c r="AD7" s="703"/>
      <c r="AE7" s="703"/>
      <c r="AF7" s="703"/>
      <c r="AG7" s="703"/>
      <c r="AH7" s="703"/>
      <c r="AI7" s="703"/>
      <c r="AJ7" s="703"/>
      <c r="AK7" s="703"/>
      <c r="AL7" s="703"/>
      <c r="AM7" s="703"/>
      <c r="AN7" s="703"/>
      <c r="AO7" s="703"/>
      <c r="AP7" s="703"/>
      <c r="AQ7" s="703"/>
      <c r="AR7" s="703"/>
      <c r="AS7" s="703"/>
      <c r="AT7" s="703"/>
      <c r="AU7" s="703"/>
      <c r="AV7" s="703"/>
      <c r="AW7" s="703"/>
      <c r="AX7" s="703"/>
      <c r="AY7" s="703"/>
      <c r="AZ7" s="703"/>
      <c r="BA7" s="703"/>
      <c r="BB7" s="703"/>
      <c r="BC7" s="703"/>
      <c r="BD7" s="703"/>
      <c r="BE7" s="703"/>
      <c r="BF7" s="703"/>
      <c r="BG7" s="703"/>
    </row>
    <row r="8" spans="1:68" ht="17.25" thickBot="1" x14ac:dyDescent="0.35"/>
    <row r="9" spans="1:68" s="1307" customFormat="1" ht="49.5" customHeight="1" x14ac:dyDescent="0.15">
      <c r="B9" s="1308" t="s">
        <v>210</v>
      </c>
      <c r="C9" s="1412" t="s">
        <v>412</v>
      </c>
      <c r="D9" s="1948" t="s">
        <v>413</v>
      </c>
      <c r="E9" s="1948"/>
      <c r="F9" s="1949" t="s">
        <v>467</v>
      </c>
      <c r="G9" s="1949"/>
      <c r="H9" s="1949" t="s">
        <v>468</v>
      </c>
      <c r="I9" s="1949"/>
      <c r="J9" s="1950" t="s">
        <v>469</v>
      </c>
      <c r="K9" s="1950"/>
      <c r="L9" s="1951" t="s">
        <v>415</v>
      </c>
      <c r="M9" s="1951"/>
      <c r="N9" s="1947" t="s">
        <v>416</v>
      </c>
      <c r="O9" s="1947"/>
      <c r="P9" s="1943" t="s">
        <v>417</v>
      </c>
      <c r="Q9" s="1943"/>
      <c r="R9" s="1943" t="s">
        <v>417</v>
      </c>
      <c r="S9" s="1943"/>
      <c r="T9" s="1943" t="s">
        <v>417</v>
      </c>
      <c r="U9" s="1943"/>
      <c r="V9" s="1944" t="s">
        <v>418</v>
      </c>
      <c r="W9" s="1944"/>
      <c r="X9" s="1944" t="s">
        <v>419</v>
      </c>
      <c r="Y9" s="1944"/>
      <c r="Z9" s="1945" t="s">
        <v>420</v>
      </c>
      <c r="AA9" s="1945"/>
      <c r="AB9" s="1945" t="s">
        <v>420</v>
      </c>
      <c r="AC9" s="1945"/>
      <c r="AD9" s="1939" t="s">
        <v>421</v>
      </c>
      <c r="AE9" s="1939"/>
      <c r="AF9" s="1939" t="s">
        <v>421</v>
      </c>
      <c r="AG9" s="1939"/>
      <c r="AH9" s="1413" t="s">
        <v>422</v>
      </c>
      <c r="AI9" s="1935" t="s">
        <v>423</v>
      </c>
      <c r="AJ9" s="1935"/>
      <c r="AK9" s="1946" t="s">
        <v>424</v>
      </c>
      <c r="AL9" s="1946"/>
      <c r="AM9" s="1942" t="s">
        <v>425</v>
      </c>
      <c r="AN9" s="1942"/>
      <c r="AO9" s="1939" t="s">
        <v>426</v>
      </c>
      <c r="AP9" s="1939"/>
      <c r="AQ9" s="1939" t="s">
        <v>427</v>
      </c>
      <c r="AR9" s="1939"/>
      <c r="AS9" s="1588" t="s">
        <v>427</v>
      </c>
      <c r="AT9" s="1588" t="s">
        <v>428</v>
      </c>
      <c r="AU9" s="1940" t="s">
        <v>429</v>
      </c>
      <c r="AV9" s="1940"/>
      <c r="AW9" s="1941" t="s">
        <v>430</v>
      </c>
      <c r="AX9" s="1941"/>
      <c r="AY9" s="1934" t="s">
        <v>431</v>
      </c>
      <c r="AZ9" s="1934"/>
      <c r="BA9" s="1414" t="s">
        <v>432</v>
      </c>
      <c r="BB9" s="1941" t="s">
        <v>433</v>
      </c>
      <c r="BC9" s="1941"/>
      <c r="BD9" s="1934" t="s">
        <v>434</v>
      </c>
      <c r="BE9" s="1934"/>
      <c r="BF9" s="1935" t="s">
        <v>435</v>
      </c>
      <c r="BG9" s="1935"/>
      <c r="BH9" s="1415" t="s">
        <v>436</v>
      </c>
      <c r="BI9" s="1416" t="s">
        <v>437</v>
      </c>
      <c r="BJ9" s="1417" t="s">
        <v>438</v>
      </c>
      <c r="BK9" s="1936" t="s">
        <v>439</v>
      </c>
      <c r="BL9" s="1936"/>
      <c r="BM9" s="1937" t="s">
        <v>470</v>
      </c>
      <c r="BN9" s="1937"/>
      <c r="BO9" s="1938"/>
    </row>
    <row r="10" spans="1:68" s="1307" customFormat="1" ht="22.5" customHeight="1" thickBot="1" x14ac:dyDescent="0.2">
      <c r="B10" s="1601" t="s">
        <v>210</v>
      </c>
      <c r="C10" s="1418" t="s">
        <v>441</v>
      </c>
      <c r="D10" s="1602" t="s">
        <v>442</v>
      </c>
      <c r="E10" s="1603" t="s">
        <v>5</v>
      </c>
      <c r="F10" s="1604" t="s">
        <v>443</v>
      </c>
      <c r="G10" s="1603" t="s">
        <v>5</v>
      </c>
      <c r="H10" s="1604" t="s">
        <v>443</v>
      </c>
      <c r="I10" s="1603" t="s">
        <v>5</v>
      </c>
      <c r="J10" s="1604" t="s">
        <v>443</v>
      </c>
      <c r="K10" s="1603" t="s">
        <v>5</v>
      </c>
      <c r="L10" s="1419" t="s">
        <v>444</v>
      </c>
      <c r="M10" s="1603" t="s">
        <v>5</v>
      </c>
      <c r="N10" s="1589" t="s">
        <v>83</v>
      </c>
      <c r="O10" s="1603" t="s">
        <v>5</v>
      </c>
      <c r="P10" s="1590" t="s">
        <v>444</v>
      </c>
      <c r="Q10" s="1603" t="s">
        <v>5</v>
      </c>
      <c r="R10" s="1590" t="s">
        <v>445</v>
      </c>
      <c r="S10" s="1603" t="s">
        <v>5</v>
      </c>
      <c r="T10" s="1590" t="s">
        <v>517</v>
      </c>
      <c r="U10" s="1603" t="s">
        <v>5</v>
      </c>
      <c r="V10" s="1591" t="s">
        <v>447</v>
      </c>
      <c r="W10" s="1603" t="s">
        <v>5</v>
      </c>
      <c r="X10" s="1591" t="s">
        <v>448</v>
      </c>
      <c r="Y10" s="1603" t="s">
        <v>5</v>
      </c>
      <c r="Z10" s="1592" t="s">
        <v>447</v>
      </c>
      <c r="AA10" s="1603" t="s">
        <v>5</v>
      </c>
      <c r="AB10" s="1592" t="s">
        <v>448</v>
      </c>
      <c r="AC10" s="1603" t="s">
        <v>5</v>
      </c>
      <c r="AD10" s="1593" t="s">
        <v>447</v>
      </c>
      <c r="AE10" s="1603" t="s">
        <v>5</v>
      </c>
      <c r="AF10" s="1593" t="s">
        <v>448</v>
      </c>
      <c r="AG10" s="1603" t="s">
        <v>5</v>
      </c>
      <c r="AH10" s="1605" t="s">
        <v>449</v>
      </c>
      <c r="AI10" s="1595" t="s">
        <v>91</v>
      </c>
      <c r="AJ10" s="1603" t="s">
        <v>5</v>
      </c>
      <c r="AK10" s="1596" t="s">
        <v>91</v>
      </c>
      <c r="AL10" s="1603" t="s">
        <v>5</v>
      </c>
      <c r="AM10" s="1597" t="s">
        <v>91</v>
      </c>
      <c r="AN10" s="1603" t="s">
        <v>5</v>
      </c>
      <c r="AO10" s="1594" t="s">
        <v>450</v>
      </c>
      <c r="AP10" s="1603" t="s">
        <v>5</v>
      </c>
      <c r="AQ10" s="1593" t="s">
        <v>447</v>
      </c>
      <c r="AR10" s="1603" t="s">
        <v>5</v>
      </c>
      <c r="AS10" s="1593" t="s">
        <v>448</v>
      </c>
      <c r="AT10" s="1593" t="s">
        <v>442</v>
      </c>
      <c r="AU10" s="1598" t="s">
        <v>75</v>
      </c>
      <c r="AV10" s="1598" t="s">
        <v>5</v>
      </c>
      <c r="AW10" s="1599" t="s">
        <v>451</v>
      </c>
      <c r="AX10" s="1606" t="s">
        <v>5</v>
      </c>
      <c r="AY10" s="1600" t="s">
        <v>451</v>
      </c>
      <c r="AZ10" s="1606" t="s">
        <v>5</v>
      </c>
      <c r="BA10" s="1607" t="s">
        <v>441</v>
      </c>
      <c r="BB10" s="1599" t="s">
        <v>452</v>
      </c>
      <c r="BC10" s="1606" t="s">
        <v>5</v>
      </c>
      <c r="BD10" s="1600" t="s">
        <v>452</v>
      </c>
      <c r="BE10" s="1606" t="s">
        <v>5</v>
      </c>
      <c r="BF10" s="1608" t="s">
        <v>453</v>
      </c>
      <c r="BG10" s="1606" t="s">
        <v>5</v>
      </c>
      <c r="BH10" s="1609" t="s">
        <v>454</v>
      </c>
      <c r="BI10" s="1609" t="s">
        <v>454</v>
      </c>
      <c r="BJ10" s="1609" t="s">
        <v>454</v>
      </c>
      <c r="BK10" s="1610" t="s">
        <v>455</v>
      </c>
      <c r="BL10" s="1611" t="s">
        <v>5</v>
      </c>
      <c r="BM10" s="1612" t="s">
        <v>471</v>
      </c>
      <c r="BN10" s="1612" t="s">
        <v>472</v>
      </c>
      <c r="BO10" s="1613" t="s">
        <v>473</v>
      </c>
      <c r="BP10" s="1307" t="s">
        <v>343</v>
      </c>
    </row>
    <row r="11" spans="1:68" s="1309" customFormat="1" ht="17.100000000000001" customHeight="1" x14ac:dyDescent="0.25">
      <c r="A11" s="1411">
        <v>91</v>
      </c>
      <c r="B11" s="1614" t="s">
        <v>12</v>
      </c>
      <c r="C11" s="1615">
        <v>1720</v>
      </c>
      <c r="D11" s="1616">
        <v>1571</v>
      </c>
      <c r="E11" s="1617">
        <f t="shared" ref="E11:I49" si="0">ROUND(D11/$C11*100,1)</f>
        <v>91.3</v>
      </c>
      <c r="F11" s="1618">
        <v>1321</v>
      </c>
      <c r="G11" s="1619">
        <f t="shared" si="0"/>
        <v>76.8</v>
      </c>
      <c r="H11" s="1620">
        <v>87</v>
      </c>
      <c r="I11" s="1621">
        <f t="shared" si="0"/>
        <v>5.0999999999999996</v>
      </c>
      <c r="J11" s="1622">
        <v>1408</v>
      </c>
      <c r="K11" s="1617">
        <f t="shared" ref="K11:K49" si="1">ROUND(J11/$C11*100,1)</f>
        <v>81.900000000000006</v>
      </c>
      <c r="L11" s="1623">
        <v>1548</v>
      </c>
      <c r="M11" s="1617">
        <f t="shared" ref="M11:O49" si="2">ROUND(L11/$C11*100,1)</f>
        <v>90</v>
      </c>
      <c r="N11" s="1623">
        <v>1482</v>
      </c>
      <c r="O11" s="1617">
        <f t="shared" si="2"/>
        <v>86.2</v>
      </c>
      <c r="P11" s="1623">
        <v>1554</v>
      </c>
      <c r="Q11" s="1617">
        <f t="shared" ref="Q11:Q49" si="3">ROUND(P11/$C11*100,1)</f>
        <v>90.3</v>
      </c>
      <c r="R11" s="1623">
        <v>1573</v>
      </c>
      <c r="S11" s="1617">
        <f t="shared" ref="S11:S49" si="4">ROUND(R11/$C11*100,1)</f>
        <v>91.5</v>
      </c>
      <c r="T11" s="1623">
        <v>1484</v>
      </c>
      <c r="U11" s="1617">
        <f t="shared" ref="U11:U49" si="5">ROUND(T11/$C11*100,1)</f>
        <v>86.3</v>
      </c>
      <c r="V11" s="1623">
        <v>1458</v>
      </c>
      <c r="W11" s="1617">
        <f t="shared" ref="W11:W49" si="6">ROUND(V11/C11*100,1)</f>
        <v>84.8</v>
      </c>
      <c r="X11" s="1623">
        <v>1469</v>
      </c>
      <c r="Y11" s="1617">
        <f t="shared" ref="Y11:Y49" si="7">ROUND(X11/$C11*100,1)</f>
        <v>85.4</v>
      </c>
      <c r="Z11" s="1618">
        <v>1315</v>
      </c>
      <c r="AA11" s="1617">
        <f>ROUND(Z11/($C11/12*9)*100,1)</f>
        <v>101.9</v>
      </c>
      <c r="AB11" s="1624">
        <v>934</v>
      </c>
      <c r="AC11" s="1617">
        <f>ROUND(AB11/($C11/12*9)*100,1)</f>
        <v>72.400000000000006</v>
      </c>
      <c r="AD11" s="1623">
        <v>1569</v>
      </c>
      <c r="AE11" s="1617">
        <f t="shared" ref="AE11:AE49" si="8">ROUND(AD11/$C11*100,1)</f>
        <v>91.2</v>
      </c>
      <c r="AF11" s="1623">
        <v>1570</v>
      </c>
      <c r="AG11" s="1619">
        <f t="shared" ref="AG11:AG49" si="9">ROUND(AF11/$C11*100,1)</f>
        <v>91.3</v>
      </c>
      <c r="AH11" s="1625">
        <v>1786</v>
      </c>
      <c r="AI11" s="1616">
        <v>1532</v>
      </c>
      <c r="AJ11" s="1617">
        <f t="shared" ref="AJ11:AL49" si="10">ROUND(AI11/$AH11*100,1)</f>
        <v>85.8</v>
      </c>
      <c r="AK11" s="1626">
        <v>1495</v>
      </c>
      <c r="AL11" s="1627">
        <f>ROUND(AK11/$AH11*100,1)</f>
        <v>83.7</v>
      </c>
      <c r="AM11" s="1182">
        <v>1722</v>
      </c>
      <c r="AN11" s="1617">
        <f t="shared" ref="AN11:AN49" si="11">ROUND(AM11/$AH11*100,1)</f>
        <v>96.4</v>
      </c>
      <c r="AO11" s="1623">
        <v>1503</v>
      </c>
      <c r="AP11" s="1617">
        <f t="shared" ref="AP11:AP49" si="12">ROUND(AO11/$AH11*100,1)</f>
        <v>84.2</v>
      </c>
      <c r="AQ11" s="1628">
        <v>24</v>
      </c>
      <c r="AR11" s="1617">
        <f>AQ11/$AH$11*100</f>
        <v>1.3437849944008957</v>
      </c>
      <c r="AS11" s="1628">
        <v>52</v>
      </c>
      <c r="AT11" s="1628">
        <v>29</v>
      </c>
      <c r="AU11" s="1623">
        <v>1250</v>
      </c>
      <c r="AV11" s="1617">
        <f>ROUND(AU11/$AH11*100,1)</f>
        <v>70</v>
      </c>
      <c r="AW11" s="1623">
        <v>1429</v>
      </c>
      <c r="AX11" s="1617">
        <f t="shared" ref="AX11:AX49" si="13">ROUND(AW11/$AH11*100,1)</f>
        <v>80</v>
      </c>
      <c r="AY11" s="1623">
        <v>1429</v>
      </c>
      <c r="AZ11" s="1619">
        <f t="shared" ref="AZ11:AZ49" si="14">ROUND(AY11/$AH11*100,1)</f>
        <v>80</v>
      </c>
      <c r="BA11" s="1629">
        <v>1816</v>
      </c>
      <c r="BB11" s="1623">
        <v>1565</v>
      </c>
      <c r="BC11" s="1630">
        <f t="shared" ref="BC11:BC49" si="15">ROUND(BB11/$BA11*100,1)</f>
        <v>86.2</v>
      </c>
      <c r="BD11" s="1623">
        <v>1563</v>
      </c>
      <c r="BE11" s="1630">
        <f t="shared" ref="BE11:BE49" si="16">ROUND(BD11/$BA11*100,1)</f>
        <v>86.1</v>
      </c>
      <c r="BF11" s="1623">
        <v>1539</v>
      </c>
      <c r="BG11" s="1631">
        <f t="shared" ref="BG11:BG49" si="17">ROUND(BF11/$BA11*100,1)</f>
        <v>84.7</v>
      </c>
      <c r="BH11" s="1632">
        <v>1443</v>
      </c>
      <c r="BI11" s="1623">
        <v>1688</v>
      </c>
      <c r="BJ11" s="1633">
        <v>727</v>
      </c>
      <c r="BK11" s="1632">
        <v>1023</v>
      </c>
      <c r="BL11" s="1634">
        <f>ROUND(BK11/C11*100,1)</f>
        <v>59.5</v>
      </c>
      <c r="BM11" s="1632">
        <v>861</v>
      </c>
      <c r="BN11" s="1623">
        <v>502</v>
      </c>
      <c r="BO11" s="1635">
        <v>6</v>
      </c>
      <c r="BP11" s="1309" t="s">
        <v>344</v>
      </c>
    </row>
    <row r="12" spans="1:68" s="1309" customFormat="1" ht="17.100000000000001" customHeight="1" x14ac:dyDescent="0.25">
      <c r="A12" s="1411" t="s">
        <v>141</v>
      </c>
      <c r="B12" s="1312" t="s">
        <v>11</v>
      </c>
      <c r="C12" s="1313">
        <v>77985</v>
      </c>
      <c r="D12" s="1314">
        <v>77253</v>
      </c>
      <c r="E12" s="1315">
        <f t="shared" si="0"/>
        <v>99.1</v>
      </c>
      <c r="F12" s="1316">
        <v>63613</v>
      </c>
      <c r="G12" s="1317">
        <f t="shared" si="0"/>
        <v>81.599999999999994</v>
      </c>
      <c r="H12" s="1318">
        <v>12024</v>
      </c>
      <c r="I12" s="1319">
        <f t="shared" si="0"/>
        <v>15.4</v>
      </c>
      <c r="J12" s="1320">
        <v>75637</v>
      </c>
      <c r="K12" s="1315">
        <f t="shared" si="1"/>
        <v>97</v>
      </c>
      <c r="L12" s="1311">
        <v>75725</v>
      </c>
      <c r="M12" s="1315">
        <f t="shared" si="2"/>
        <v>97.1</v>
      </c>
      <c r="N12" s="1311">
        <v>72541</v>
      </c>
      <c r="O12" s="1315">
        <f t="shared" si="2"/>
        <v>93</v>
      </c>
      <c r="P12" s="1311">
        <v>75710</v>
      </c>
      <c r="Q12" s="1315">
        <f t="shared" si="3"/>
        <v>97.1</v>
      </c>
      <c r="R12" s="1311">
        <v>74658</v>
      </c>
      <c r="S12" s="1315">
        <f t="shared" si="4"/>
        <v>95.7</v>
      </c>
      <c r="T12" s="1311">
        <v>72677</v>
      </c>
      <c r="U12" s="1315">
        <f t="shared" si="5"/>
        <v>93.2</v>
      </c>
      <c r="V12" s="1311">
        <v>71797</v>
      </c>
      <c r="W12" s="1315">
        <f t="shared" si="6"/>
        <v>92.1</v>
      </c>
      <c r="X12" s="1311">
        <v>69215</v>
      </c>
      <c r="Y12" s="1315">
        <f t="shared" si="7"/>
        <v>88.8</v>
      </c>
      <c r="Z12" s="1316">
        <v>59206</v>
      </c>
      <c r="AA12" s="1315">
        <f>ROUND(Z12/($C12/12*9)*100,1)</f>
        <v>101.2</v>
      </c>
      <c r="AB12" s="1310">
        <v>43281</v>
      </c>
      <c r="AC12" s="1315">
        <f>ROUND(AB12/($C12/12*9)*100,1)</f>
        <v>74</v>
      </c>
      <c r="AD12" s="1311">
        <v>76910</v>
      </c>
      <c r="AE12" s="1315">
        <f t="shared" si="8"/>
        <v>98.6</v>
      </c>
      <c r="AF12" s="1311">
        <v>78580</v>
      </c>
      <c r="AG12" s="1317">
        <f t="shared" si="9"/>
        <v>100.8</v>
      </c>
      <c r="AH12" s="1321">
        <v>79524</v>
      </c>
      <c r="AI12" s="1314">
        <v>75061</v>
      </c>
      <c r="AJ12" s="1315">
        <f t="shared" si="10"/>
        <v>94.4</v>
      </c>
      <c r="AK12" s="1316">
        <v>73825</v>
      </c>
      <c r="AL12" s="1315">
        <f>ROUND(AK12/$AH12*100,1)</f>
        <v>92.8</v>
      </c>
      <c r="AM12" s="1200">
        <v>68955</v>
      </c>
      <c r="AN12" s="1315">
        <f t="shared" si="11"/>
        <v>86.7</v>
      </c>
      <c r="AO12" s="1311">
        <v>76299</v>
      </c>
      <c r="AP12" s="1315">
        <f t="shared" si="12"/>
        <v>95.9</v>
      </c>
      <c r="AQ12" s="1322">
        <v>770</v>
      </c>
      <c r="AR12" s="1315">
        <f t="shared" ref="AR12:AR45" si="18">AQ12/AH12*100</f>
        <v>0.96826115386549982</v>
      </c>
      <c r="AS12" s="1322">
        <v>1414</v>
      </c>
      <c r="AT12" s="1322">
        <v>3273</v>
      </c>
      <c r="AU12" s="1311">
        <v>72005</v>
      </c>
      <c r="AV12" s="1315">
        <f>ROUND(AU12/$AH12*100,1)</f>
        <v>90.5</v>
      </c>
      <c r="AW12" s="1311">
        <v>69896</v>
      </c>
      <c r="AX12" s="1315">
        <f t="shared" si="13"/>
        <v>87.9</v>
      </c>
      <c r="AY12" s="1311">
        <v>70119</v>
      </c>
      <c r="AZ12" s="1317">
        <f t="shared" si="14"/>
        <v>88.2</v>
      </c>
      <c r="BA12" s="1323">
        <v>83290</v>
      </c>
      <c r="BB12" s="1311">
        <v>74774</v>
      </c>
      <c r="BC12" s="1324">
        <f t="shared" si="15"/>
        <v>89.8</v>
      </c>
      <c r="BD12" s="1311">
        <v>74870</v>
      </c>
      <c r="BE12" s="1324">
        <f t="shared" si="16"/>
        <v>89.9</v>
      </c>
      <c r="BF12" s="1311">
        <v>74345</v>
      </c>
      <c r="BG12" s="1325">
        <f t="shared" si="17"/>
        <v>89.3</v>
      </c>
      <c r="BH12" s="1326">
        <v>50233</v>
      </c>
      <c r="BI12" s="1311">
        <v>217983</v>
      </c>
      <c r="BJ12" s="1327">
        <v>52747</v>
      </c>
      <c r="BK12" s="1326">
        <v>67252</v>
      </c>
      <c r="BL12" s="1328">
        <f t="shared" ref="BL12:BL49" si="19">ROUND(BK12/C12*100,1)</f>
        <v>86.2</v>
      </c>
      <c r="BM12" s="1326">
        <v>28044</v>
      </c>
      <c r="BN12" s="1311">
        <v>15515</v>
      </c>
      <c r="BO12" s="1636">
        <v>1389</v>
      </c>
      <c r="BP12" s="1309" t="s">
        <v>345</v>
      </c>
    </row>
    <row r="13" spans="1:68" s="1309" customFormat="1" ht="17.100000000000001" customHeight="1" x14ac:dyDescent="0.25">
      <c r="A13" s="1411">
        <v>81</v>
      </c>
      <c r="B13" s="1329" t="s">
        <v>13</v>
      </c>
      <c r="C13" s="1313">
        <v>4561</v>
      </c>
      <c r="D13" s="1314">
        <v>4768</v>
      </c>
      <c r="E13" s="1315">
        <f t="shared" si="0"/>
        <v>104.5</v>
      </c>
      <c r="F13" s="1316">
        <v>4597</v>
      </c>
      <c r="G13" s="1317">
        <f t="shared" si="0"/>
        <v>100.8</v>
      </c>
      <c r="H13" s="1318">
        <v>20</v>
      </c>
      <c r="I13" s="1319">
        <f t="shared" si="0"/>
        <v>0.4</v>
      </c>
      <c r="J13" s="1320">
        <v>4617</v>
      </c>
      <c r="K13" s="1315">
        <f t="shared" si="1"/>
        <v>101.2</v>
      </c>
      <c r="L13" s="1311">
        <v>4845</v>
      </c>
      <c r="M13" s="1315">
        <f t="shared" si="2"/>
        <v>106.2</v>
      </c>
      <c r="N13" s="1311">
        <v>4738</v>
      </c>
      <c r="O13" s="1315">
        <f t="shared" si="2"/>
        <v>103.9</v>
      </c>
      <c r="P13" s="1311">
        <v>4954</v>
      </c>
      <c r="Q13" s="1315">
        <f t="shared" si="3"/>
        <v>108.6</v>
      </c>
      <c r="R13" s="1311">
        <v>4963</v>
      </c>
      <c r="S13" s="1315">
        <f t="shared" si="4"/>
        <v>108.8</v>
      </c>
      <c r="T13" s="1311">
        <v>4766</v>
      </c>
      <c r="U13" s="1315">
        <f t="shared" si="5"/>
        <v>104.5</v>
      </c>
      <c r="V13" s="1311">
        <v>4695</v>
      </c>
      <c r="W13" s="1315">
        <f t="shared" si="6"/>
        <v>102.9</v>
      </c>
      <c r="X13" s="1311">
        <v>4692</v>
      </c>
      <c r="Y13" s="1315">
        <f t="shared" si="7"/>
        <v>102.9</v>
      </c>
      <c r="Z13" s="1316">
        <v>2747</v>
      </c>
      <c r="AA13" s="1315">
        <f t="shared" ref="AA13:AA49" si="20">ROUND(Z13/($C13/12*9)*100,1)</f>
        <v>80.3</v>
      </c>
      <c r="AB13" s="1310">
        <v>2302</v>
      </c>
      <c r="AC13" s="1315">
        <f t="shared" ref="AC13:AC49" si="21">ROUND(AB13/($C13/12*9)*100,1)</f>
        <v>67.3</v>
      </c>
      <c r="AD13" s="1311">
        <v>5298</v>
      </c>
      <c r="AE13" s="1315">
        <f t="shared" si="8"/>
        <v>116.2</v>
      </c>
      <c r="AF13" s="1311">
        <v>5076</v>
      </c>
      <c r="AG13" s="1317">
        <f t="shared" si="9"/>
        <v>111.3</v>
      </c>
      <c r="AH13" s="1321">
        <v>4542</v>
      </c>
      <c r="AI13" s="1314">
        <v>5044</v>
      </c>
      <c r="AJ13" s="1315">
        <f t="shared" si="10"/>
        <v>111.1</v>
      </c>
      <c r="AK13" s="1316">
        <v>5098</v>
      </c>
      <c r="AL13" s="1315">
        <f t="shared" ref="AL13:AL47" si="22">ROUND(AK13/$AH13*100,1)</f>
        <v>112.2</v>
      </c>
      <c r="AM13" s="1200">
        <v>5963</v>
      </c>
      <c r="AN13" s="1315">
        <f t="shared" si="11"/>
        <v>131.30000000000001</v>
      </c>
      <c r="AO13" s="1311">
        <v>4912</v>
      </c>
      <c r="AP13" s="1315">
        <f t="shared" si="12"/>
        <v>108.1</v>
      </c>
      <c r="AQ13" s="1322">
        <v>207</v>
      </c>
      <c r="AR13" s="1315">
        <f t="shared" si="18"/>
        <v>4.5574636723910169</v>
      </c>
      <c r="AS13" s="1322">
        <v>277</v>
      </c>
      <c r="AT13" s="1322">
        <v>253</v>
      </c>
      <c r="AU13" s="1311">
        <v>5184</v>
      </c>
      <c r="AV13" s="1315">
        <f>ROUND(AU13/$AH13*100,1)</f>
        <v>114.1</v>
      </c>
      <c r="AW13" s="1311">
        <v>4346</v>
      </c>
      <c r="AX13" s="1315">
        <f t="shared" si="13"/>
        <v>95.7</v>
      </c>
      <c r="AY13" s="1311">
        <v>4350</v>
      </c>
      <c r="AZ13" s="1317">
        <f t="shared" si="14"/>
        <v>95.8</v>
      </c>
      <c r="BA13" s="1323">
        <v>4841</v>
      </c>
      <c r="BB13" s="1311">
        <v>4672</v>
      </c>
      <c r="BC13" s="1324">
        <f t="shared" si="15"/>
        <v>96.5</v>
      </c>
      <c r="BD13" s="1311">
        <v>4690</v>
      </c>
      <c r="BE13" s="1324">
        <f t="shared" si="16"/>
        <v>96.9</v>
      </c>
      <c r="BF13" s="1311">
        <v>4662</v>
      </c>
      <c r="BG13" s="1325">
        <f t="shared" si="17"/>
        <v>96.3</v>
      </c>
      <c r="BH13" s="1326">
        <v>4074</v>
      </c>
      <c r="BI13" s="1311">
        <v>4381</v>
      </c>
      <c r="BJ13" s="1327">
        <v>3280</v>
      </c>
      <c r="BK13" s="1326">
        <v>4182</v>
      </c>
      <c r="BL13" s="1328">
        <f t="shared" si="19"/>
        <v>91.7</v>
      </c>
      <c r="BM13" s="1326">
        <v>1191</v>
      </c>
      <c r="BN13" s="1311">
        <v>252</v>
      </c>
      <c r="BO13" s="1636">
        <v>1</v>
      </c>
      <c r="BP13" s="1309" t="s">
        <v>346</v>
      </c>
    </row>
    <row r="14" spans="1:68" s="1309" customFormat="1" ht="17.100000000000001" customHeight="1" x14ac:dyDescent="0.25">
      <c r="A14" s="1411" t="s">
        <v>142</v>
      </c>
      <c r="B14" s="1329" t="s">
        <v>14</v>
      </c>
      <c r="C14" s="1313">
        <v>20423</v>
      </c>
      <c r="D14" s="1314">
        <v>20448</v>
      </c>
      <c r="E14" s="1315">
        <f t="shared" si="0"/>
        <v>100.1</v>
      </c>
      <c r="F14" s="1316">
        <v>18863</v>
      </c>
      <c r="G14" s="1317">
        <f t="shared" si="0"/>
        <v>92.4</v>
      </c>
      <c r="H14" s="1318">
        <v>165</v>
      </c>
      <c r="I14" s="1319">
        <f t="shared" si="0"/>
        <v>0.8</v>
      </c>
      <c r="J14" s="1320">
        <v>19028</v>
      </c>
      <c r="K14" s="1315">
        <f t="shared" si="1"/>
        <v>93.2</v>
      </c>
      <c r="L14" s="1311">
        <v>21142</v>
      </c>
      <c r="M14" s="1315">
        <f t="shared" si="2"/>
        <v>103.5</v>
      </c>
      <c r="N14" s="1311">
        <v>21741</v>
      </c>
      <c r="O14" s="1315">
        <f t="shared" si="2"/>
        <v>106.5</v>
      </c>
      <c r="P14" s="1311">
        <v>20308</v>
      </c>
      <c r="Q14" s="1315">
        <f t="shared" si="3"/>
        <v>99.4</v>
      </c>
      <c r="R14" s="1311">
        <v>20491</v>
      </c>
      <c r="S14" s="1315">
        <f t="shared" si="4"/>
        <v>100.3</v>
      </c>
      <c r="T14" s="1311">
        <v>20912</v>
      </c>
      <c r="U14" s="1315">
        <f t="shared" si="5"/>
        <v>102.4</v>
      </c>
      <c r="V14" s="1311">
        <v>16953</v>
      </c>
      <c r="W14" s="1315">
        <f t="shared" si="6"/>
        <v>83</v>
      </c>
      <c r="X14" s="1311">
        <v>18944</v>
      </c>
      <c r="Y14" s="1315">
        <f t="shared" si="7"/>
        <v>92.8</v>
      </c>
      <c r="Z14" s="1316">
        <v>14566</v>
      </c>
      <c r="AA14" s="1315">
        <f t="shared" si="20"/>
        <v>95.1</v>
      </c>
      <c r="AB14" s="1310">
        <v>9223</v>
      </c>
      <c r="AC14" s="1315">
        <f t="shared" si="21"/>
        <v>60.2</v>
      </c>
      <c r="AD14" s="1311">
        <v>19214</v>
      </c>
      <c r="AE14" s="1315">
        <f t="shared" si="8"/>
        <v>94.1</v>
      </c>
      <c r="AF14" s="1311">
        <v>21075</v>
      </c>
      <c r="AG14" s="1317">
        <f t="shared" si="9"/>
        <v>103.2</v>
      </c>
      <c r="AH14" s="1321">
        <v>20841</v>
      </c>
      <c r="AI14" s="1314">
        <v>21280</v>
      </c>
      <c r="AJ14" s="1315">
        <f t="shared" si="10"/>
        <v>102.1</v>
      </c>
      <c r="AK14" s="1316">
        <v>20732</v>
      </c>
      <c r="AL14" s="1315">
        <f t="shared" si="22"/>
        <v>99.5</v>
      </c>
      <c r="AM14" s="1200">
        <v>21213</v>
      </c>
      <c r="AN14" s="1315">
        <f t="shared" si="11"/>
        <v>101.8</v>
      </c>
      <c r="AO14" s="1311">
        <v>20125</v>
      </c>
      <c r="AP14" s="1315">
        <f t="shared" si="12"/>
        <v>96.6</v>
      </c>
      <c r="AQ14" s="1322">
        <v>389</v>
      </c>
      <c r="AR14" s="1315">
        <f t="shared" si="18"/>
        <v>1.8665131231706731</v>
      </c>
      <c r="AS14" s="1322">
        <v>619</v>
      </c>
      <c r="AT14" s="1322">
        <v>419</v>
      </c>
      <c r="AU14" s="1311">
        <v>19736</v>
      </c>
      <c r="AV14" s="1315">
        <f>ROUND(AU14/$AH14*100,1)</f>
        <v>94.7</v>
      </c>
      <c r="AW14" s="1311">
        <v>19633</v>
      </c>
      <c r="AX14" s="1315">
        <f t="shared" si="13"/>
        <v>94.2</v>
      </c>
      <c r="AY14" s="1311">
        <v>19476</v>
      </c>
      <c r="AZ14" s="1317">
        <f t="shared" si="14"/>
        <v>93.5</v>
      </c>
      <c r="BA14" s="1323">
        <v>21173</v>
      </c>
      <c r="BB14" s="1311">
        <v>21221</v>
      </c>
      <c r="BC14" s="1324">
        <f t="shared" si="15"/>
        <v>100.2</v>
      </c>
      <c r="BD14" s="1311">
        <v>21465</v>
      </c>
      <c r="BE14" s="1324">
        <f t="shared" si="16"/>
        <v>101.4</v>
      </c>
      <c r="BF14" s="1311">
        <v>20874</v>
      </c>
      <c r="BG14" s="1325">
        <f t="shared" si="17"/>
        <v>98.6</v>
      </c>
      <c r="BH14" s="1326">
        <v>9366</v>
      </c>
      <c r="BI14" s="1311">
        <v>9424</v>
      </c>
      <c r="BJ14" s="1327">
        <v>9895</v>
      </c>
      <c r="BK14" s="1326">
        <v>15155</v>
      </c>
      <c r="BL14" s="1328">
        <f t="shared" si="19"/>
        <v>74.2</v>
      </c>
      <c r="BM14" s="1326">
        <v>1121</v>
      </c>
      <c r="BN14" s="1311">
        <v>457</v>
      </c>
      <c r="BO14" s="1636">
        <v>32</v>
      </c>
      <c r="BP14" s="1309" t="s">
        <v>347</v>
      </c>
    </row>
    <row r="15" spans="1:68" s="1309" customFormat="1" ht="17.100000000000001" customHeight="1" x14ac:dyDescent="0.25">
      <c r="A15" s="1411" t="s">
        <v>245</v>
      </c>
      <c r="B15" s="1330" t="s">
        <v>115</v>
      </c>
      <c r="C15" s="1313">
        <v>21962</v>
      </c>
      <c r="D15" s="1314">
        <v>21887</v>
      </c>
      <c r="E15" s="1315">
        <f t="shared" si="0"/>
        <v>99.7</v>
      </c>
      <c r="F15" s="1316">
        <v>20160</v>
      </c>
      <c r="G15" s="1317">
        <f t="shared" si="0"/>
        <v>91.8</v>
      </c>
      <c r="H15" s="1318">
        <v>0</v>
      </c>
      <c r="I15" s="1319">
        <f t="shared" si="0"/>
        <v>0</v>
      </c>
      <c r="J15" s="1320">
        <v>20342</v>
      </c>
      <c r="K15" s="1315">
        <f t="shared" si="1"/>
        <v>92.6</v>
      </c>
      <c r="L15" s="1311">
        <v>21625</v>
      </c>
      <c r="M15" s="1315">
        <f t="shared" si="2"/>
        <v>98.5</v>
      </c>
      <c r="N15" s="1311">
        <v>21257</v>
      </c>
      <c r="O15" s="1315">
        <f t="shared" si="2"/>
        <v>96.8</v>
      </c>
      <c r="P15" s="1311">
        <v>21678</v>
      </c>
      <c r="Q15" s="1315">
        <f t="shared" si="3"/>
        <v>98.7</v>
      </c>
      <c r="R15" s="1311">
        <v>21293</v>
      </c>
      <c r="S15" s="1315">
        <f t="shared" si="4"/>
        <v>97</v>
      </c>
      <c r="T15" s="1311">
        <v>21174</v>
      </c>
      <c r="U15" s="1315">
        <f t="shared" si="5"/>
        <v>96.4</v>
      </c>
      <c r="V15" s="1311">
        <v>21519</v>
      </c>
      <c r="W15" s="1315">
        <f t="shared" si="6"/>
        <v>98</v>
      </c>
      <c r="X15" s="1311">
        <v>20945</v>
      </c>
      <c r="Y15" s="1315">
        <f t="shared" si="7"/>
        <v>95.4</v>
      </c>
      <c r="Z15" s="1316">
        <v>18560</v>
      </c>
      <c r="AA15" s="1315">
        <f t="shared" si="20"/>
        <v>112.7</v>
      </c>
      <c r="AB15" s="1310">
        <v>12331</v>
      </c>
      <c r="AC15" s="1315">
        <f t="shared" si="21"/>
        <v>74.900000000000006</v>
      </c>
      <c r="AD15" s="1311">
        <v>22248</v>
      </c>
      <c r="AE15" s="1315">
        <f t="shared" si="8"/>
        <v>101.3</v>
      </c>
      <c r="AF15" s="1311">
        <v>21778</v>
      </c>
      <c r="AG15" s="1317">
        <f t="shared" si="9"/>
        <v>99.2</v>
      </c>
      <c r="AH15" s="1321">
        <v>21907</v>
      </c>
      <c r="AI15" s="1314">
        <v>21285</v>
      </c>
      <c r="AJ15" s="1315">
        <f t="shared" si="10"/>
        <v>97.2</v>
      </c>
      <c r="AK15" s="1316">
        <v>21262</v>
      </c>
      <c r="AL15" s="1315">
        <f t="shared" si="22"/>
        <v>97.1</v>
      </c>
      <c r="AM15" s="1200">
        <v>20800</v>
      </c>
      <c r="AN15" s="1315">
        <f t="shared" si="11"/>
        <v>94.9</v>
      </c>
      <c r="AO15" s="1311">
        <v>21213</v>
      </c>
      <c r="AP15" s="1315">
        <f t="shared" si="12"/>
        <v>96.8</v>
      </c>
      <c r="AQ15" s="1322">
        <v>281</v>
      </c>
      <c r="AR15" s="1315">
        <f t="shared" si="18"/>
        <v>1.2826950289861689</v>
      </c>
      <c r="AS15" s="1322">
        <v>222</v>
      </c>
      <c r="AT15" s="1322">
        <v>257</v>
      </c>
      <c r="AU15" s="1311">
        <v>21462</v>
      </c>
      <c r="AV15" s="1315">
        <f t="shared" ref="AV15:AV47" si="23">ROUND(AU15/$AH15*100,1)</f>
        <v>98</v>
      </c>
      <c r="AW15" s="1311">
        <v>21346</v>
      </c>
      <c r="AX15" s="1315">
        <f t="shared" si="13"/>
        <v>97.4</v>
      </c>
      <c r="AY15" s="1311">
        <v>21333</v>
      </c>
      <c r="AZ15" s="1317">
        <f t="shared" si="14"/>
        <v>97.4</v>
      </c>
      <c r="BA15" s="1323">
        <v>21661</v>
      </c>
      <c r="BB15" s="1311">
        <v>20723</v>
      </c>
      <c r="BC15" s="1324">
        <f t="shared" si="15"/>
        <v>95.7</v>
      </c>
      <c r="BD15" s="1311">
        <v>20756</v>
      </c>
      <c r="BE15" s="1324">
        <f t="shared" si="16"/>
        <v>95.8</v>
      </c>
      <c r="BF15" s="1311">
        <v>20712</v>
      </c>
      <c r="BG15" s="1325">
        <f t="shared" si="17"/>
        <v>95.6</v>
      </c>
      <c r="BH15" s="1326">
        <v>8659</v>
      </c>
      <c r="BI15" s="1311">
        <v>22946</v>
      </c>
      <c r="BJ15" s="1327">
        <v>14458</v>
      </c>
      <c r="BK15" s="1326">
        <v>18010</v>
      </c>
      <c r="BL15" s="1328">
        <f t="shared" si="19"/>
        <v>82</v>
      </c>
      <c r="BM15" s="1326">
        <v>544</v>
      </c>
      <c r="BN15" s="1311">
        <v>579</v>
      </c>
      <c r="BO15" s="1636">
        <v>115</v>
      </c>
      <c r="BP15" s="1309" t="s">
        <v>347</v>
      </c>
    </row>
    <row r="16" spans="1:68" s="1309" customFormat="1" ht="17.100000000000001" customHeight="1" x14ac:dyDescent="0.25">
      <c r="A16" s="1411">
        <v>11</v>
      </c>
      <c r="B16" s="1329" t="s">
        <v>348</v>
      </c>
      <c r="C16" s="1313">
        <v>104937</v>
      </c>
      <c r="D16" s="1314">
        <v>109138</v>
      </c>
      <c r="E16" s="1315">
        <f t="shared" si="0"/>
        <v>104</v>
      </c>
      <c r="F16" s="1316">
        <v>84233</v>
      </c>
      <c r="G16" s="1317">
        <f t="shared" si="0"/>
        <v>80.3</v>
      </c>
      <c r="H16" s="1318">
        <v>23897</v>
      </c>
      <c r="I16" s="1319">
        <f t="shared" si="0"/>
        <v>22.8</v>
      </c>
      <c r="J16" s="1320">
        <v>108130</v>
      </c>
      <c r="K16" s="1315">
        <f t="shared" si="1"/>
        <v>103</v>
      </c>
      <c r="L16" s="1311">
        <v>92493</v>
      </c>
      <c r="M16" s="1315">
        <f t="shared" si="2"/>
        <v>88.1</v>
      </c>
      <c r="N16" s="1311">
        <v>93060</v>
      </c>
      <c r="O16" s="1315">
        <f t="shared" si="2"/>
        <v>88.7</v>
      </c>
      <c r="P16" s="1311">
        <v>92583</v>
      </c>
      <c r="Q16" s="1315">
        <f t="shared" si="3"/>
        <v>88.2</v>
      </c>
      <c r="R16" s="1311">
        <v>93134</v>
      </c>
      <c r="S16" s="1315">
        <f t="shared" si="4"/>
        <v>88.8</v>
      </c>
      <c r="T16" s="1311">
        <v>93048</v>
      </c>
      <c r="U16" s="1315">
        <f t="shared" si="5"/>
        <v>88.7</v>
      </c>
      <c r="V16" s="1311">
        <v>91199</v>
      </c>
      <c r="W16" s="1315">
        <f t="shared" si="6"/>
        <v>86.9</v>
      </c>
      <c r="X16" s="1311">
        <v>91947</v>
      </c>
      <c r="Y16" s="1315">
        <f t="shared" si="7"/>
        <v>87.6</v>
      </c>
      <c r="Z16" s="1316">
        <v>79922</v>
      </c>
      <c r="AA16" s="1315">
        <f t="shared" si="20"/>
        <v>101.5</v>
      </c>
      <c r="AB16" s="1310">
        <v>54908</v>
      </c>
      <c r="AC16" s="1315">
        <f t="shared" si="21"/>
        <v>69.8</v>
      </c>
      <c r="AD16" s="1311">
        <v>93180</v>
      </c>
      <c r="AE16" s="1315">
        <f t="shared" si="8"/>
        <v>88.8</v>
      </c>
      <c r="AF16" s="1311">
        <v>95957</v>
      </c>
      <c r="AG16" s="1317">
        <f t="shared" si="9"/>
        <v>91.4</v>
      </c>
      <c r="AH16" s="1321">
        <v>105191</v>
      </c>
      <c r="AI16" s="1314">
        <v>97298</v>
      </c>
      <c r="AJ16" s="1315">
        <f t="shared" si="10"/>
        <v>92.5</v>
      </c>
      <c r="AK16" s="1316">
        <v>96302</v>
      </c>
      <c r="AL16" s="1315">
        <f t="shared" si="22"/>
        <v>91.5</v>
      </c>
      <c r="AM16" s="1200">
        <v>86490</v>
      </c>
      <c r="AN16" s="1315">
        <f t="shared" si="11"/>
        <v>82.2</v>
      </c>
      <c r="AO16" s="1311">
        <v>97059</v>
      </c>
      <c r="AP16" s="1315">
        <f t="shared" si="12"/>
        <v>92.3</v>
      </c>
      <c r="AQ16" s="1322">
        <v>613</v>
      </c>
      <c r="AR16" s="1315">
        <f t="shared" si="18"/>
        <v>0.58274947476495131</v>
      </c>
      <c r="AS16" s="1322">
        <v>698</v>
      </c>
      <c r="AT16" s="1322">
        <v>1020</v>
      </c>
      <c r="AU16" s="1311">
        <v>97130</v>
      </c>
      <c r="AV16" s="1315">
        <f t="shared" si="23"/>
        <v>92.3</v>
      </c>
      <c r="AW16" s="1311">
        <v>88295</v>
      </c>
      <c r="AX16" s="1315">
        <f t="shared" si="13"/>
        <v>83.9</v>
      </c>
      <c r="AY16" s="1311">
        <v>88338</v>
      </c>
      <c r="AZ16" s="1317">
        <f t="shared" si="14"/>
        <v>84</v>
      </c>
      <c r="BA16" s="1323">
        <v>106379</v>
      </c>
      <c r="BB16" s="1311">
        <v>91378</v>
      </c>
      <c r="BC16" s="1324">
        <f t="shared" si="15"/>
        <v>85.9</v>
      </c>
      <c r="BD16" s="1311">
        <v>91438</v>
      </c>
      <c r="BE16" s="1324">
        <f t="shared" si="16"/>
        <v>86</v>
      </c>
      <c r="BF16" s="1311">
        <v>91929</v>
      </c>
      <c r="BG16" s="1325">
        <f t="shared" si="17"/>
        <v>86.4</v>
      </c>
      <c r="BH16" s="1326">
        <v>104186</v>
      </c>
      <c r="BI16" s="1311">
        <v>253043</v>
      </c>
      <c r="BJ16" s="1327">
        <v>66768</v>
      </c>
      <c r="BK16" s="1326">
        <v>86079</v>
      </c>
      <c r="BL16" s="1328">
        <f t="shared" si="19"/>
        <v>82</v>
      </c>
      <c r="BM16" s="1326">
        <v>12476</v>
      </c>
      <c r="BN16" s="1311">
        <v>8153</v>
      </c>
      <c r="BO16" s="1636">
        <v>2122</v>
      </c>
      <c r="BP16" s="1309" t="s">
        <v>345</v>
      </c>
    </row>
    <row r="17" spans="1:68" s="1309" customFormat="1" ht="17.100000000000001" customHeight="1" x14ac:dyDescent="0.25">
      <c r="A17" s="1411">
        <v>13</v>
      </c>
      <c r="B17" s="1329" t="s">
        <v>62</v>
      </c>
      <c r="C17" s="1313">
        <v>21542</v>
      </c>
      <c r="D17" s="1314">
        <v>10386</v>
      </c>
      <c r="E17" s="1315">
        <f t="shared" si="0"/>
        <v>48.2</v>
      </c>
      <c r="F17" s="1316">
        <v>8445</v>
      </c>
      <c r="G17" s="1317">
        <f t="shared" si="0"/>
        <v>39.200000000000003</v>
      </c>
      <c r="H17" s="1318">
        <v>1155</v>
      </c>
      <c r="I17" s="1319">
        <f t="shared" si="0"/>
        <v>5.4</v>
      </c>
      <c r="J17" s="1320">
        <v>9600</v>
      </c>
      <c r="K17" s="1315">
        <f t="shared" si="1"/>
        <v>44.6</v>
      </c>
      <c r="L17" s="1311">
        <v>19042</v>
      </c>
      <c r="M17" s="1315">
        <f t="shared" si="2"/>
        <v>88.4</v>
      </c>
      <c r="N17" s="1311">
        <v>18169</v>
      </c>
      <c r="O17" s="1315">
        <f t="shared" si="2"/>
        <v>84.3</v>
      </c>
      <c r="P17" s="1311">
        <v>19049</v>
      </c>
      <c r="Q17" s="1315">
        <f t="shared" si="3"/>
        <v>88.4</v>
      </c>
      <c r="R17" s="1311">
        <v>18588</v>
      </c>
      <c r="S17" s="1315">
        <f t="shared" si="4"/>
        <v>86.3</v>
      </c>
      <c r="T17" s="1311">
        <v>18202</v>
      </c>
      <c r="U17" s="1315">
        <f t="shared" si="5"/>
        <v>84.5</v>
      </c>
      <c r="V17" s="1311">
        <v>18224</v>
      </c>
      <c r="W17" s="1315">
        <f t="shared" si="6"/>
        <v>84.6</v>
      </c>
      <c r="X17" s="1311">
        <v>17791</v>
      </c>
      <c r="Y17" s="1315">
        <f t="shared" si="7"/>
        <v>82.6</v>
      </c>
      <c r="Z17" s="1316">
        <v>15093</v>
      </c>
      <c r="AA17" s="1315">
        <f t="shared" si="20"/>
        <v>93.4</v>
      </c>
      <c r="AB17" s="1310">
        <v>10293</v>
      </c>
      <c r="AC17" s="1315">
        <f t="shared" si="21"/>
        <v>63.7</v>
      </c>
      <c r="AD17" s="1311">
        <v>18546</v>
      </c>
      <c r="AE17" s="1315">
        <f t="shared" si="8"/>
        <v>86.1</v>
      </c>
      <c r="AF17" s="1311">
        <v>18132</v>
      </c>
      <c r="AG17" s="1317">
        <f t="shared" si="9"/>
        <v>84.2</v>
      </c>
      <c r="AH17" s="1321">
        <v>22079</v>
      </c>
      <c r="AI17" s="1314">
        <v>18336</v>
      </c>
      <c r="AJ17" s="1315">
        <f t="shared" si="10"/>
        <v>83</v>
      </c>
      <c r="AK17" s="1316">
        <v>17581</v>
      </c>
      <c r="AL17" s="1315">
        <f t="shared" si="22"/>
        <v>79.599999999999994</v>
      </c>
      <c r="AM17" s="1200">
        <v>17013</v>
      </c>
      <c r="AN17" s="1315">
        <f t="shared" si="11"/>
        <v>77.099999999999994</v>
      </c>
      <c r="AO17" s="1311">
        <v>17963</v>
      </c>
      <c r="AP17" s="1315">
        <f t="shared" si="12"/>
        <v>81.400000000000006</v>
      </c>
      <c r="AQ17" s="1322">
        <v>185</v>
      </c>
      <c r="AR17" s="1315">
        <f t="shared" si="18"/>
        <v>0.83790026722224742</v>
      </c>
      <c r="AS17" s="1322">
        <v>210</v>
      </c>
      <c r="AT17" s="1322">
        <v>502</v>
      </c>
      <c r="AU17" s="1311">
        <v>17452</v>
      </c>
      <c r="AV17" s="1315">
        <f t="shared" si="23"/>
        <v>79</v>
      </c>
      <c r="AW17" s="1311">
        <v>17931</v>
      </c>
      <c r="AX17" s="1315">
        <f t="shared" si="13"/>
        <v>81.2</v>
      </c>
      <c r="AY17" s="1311">
        <v>17836</v>
      </c>
      <c r="AZ17" s="1317">
        <f t="shared" si="14"/>
        <v>80.8</v>
      </c>
      <c r="BA17" s="1323">
        <v>21989</v>
      </c>
      <c r="BB17" s="1311">
        <v>20049</v>
      </c>
      <c r="BC17" s="1324">
        <f t="shared" si="15"/>
        <v>91.2</v>
      </c>
      <c r="BD17" s="1311">
        <v>19930</v>
      </c>
      <c r="BE17" s="1324">
        <f t="shared" si="16"/>
        <v>90.6</v>
      </c>
      <c r="BF17" s="1311">
        <v>19739</v>
      </c>
      <c r="BG17" s="1325">
        <f t="shared" si="17"/>
        <v>89.8</v>
      </c>
      <c r="BH17" s="1326">
        <v>5810</v>
      </c>
      <c r="BI17" s="1311">
        <v>18757</v>
      </c>
      <c r="BJ17" s="1327">
        <v>12832</v>
      </c>
      <c r="BK17" s="1326">
        <v>16141</v>
      </c>
      <c r="BL17" s="1328">
        <f t="shared" si="19"/>
        <v>74.900000000000006</v>
      </c>
      <c r="BM17" s="1326">
        <v>1822</v>
      </c>
      <c r="BN17" s="1311">
        <v>557</v>
      </c>
      <c r="BO17" s="1636">
        <v>18</v>
      </c>
      <c r="BP17" s="1309" t="s">
        <v>347</v>
      </c>
    </row>
    <row r="18" spans="1:68" s="1309" customFormat="1" ht="17.100000000000001" customHeight="1" x14ac:dyDescent="0.25">
      <c r="A18" s="1411">
        <v>13001</v>
      </c>
      <c r="B18" s="1330" t="s">
        <v>45</v>
      </c>
      <c r="C18" s="1313">
        <v>18943</v>
      </c>
      <c r="D18" s="1314">
        <v>19908</v>
      </c>
      <c r="E18" s="1315">
        <f t="shared" si="0"/>
        <v>105.1</v>
      </c>
      <c r="F18" s="1316">
        <v>19702</v>
      </c>
      <c r="G18" s="1317">
        <f t="shared" si="0"/>
        <v>104</v>
      </c>
      <c r="H18" s="1318">
        <v>0</v>
      </c>
      <c r="I18" s="1319">
        <f t="shared" si="0"/>
        <v>0</v>
      </c>
      <c r="J18" s="1320">
        <v>19783</v>
      </c>
      <c r="K18" s="1315">
        <f t="shared" si="1"/>
        <v>104.4</v>
      </c>
      <c r="L18" s="1311">
        <v>18503</v>
      </c>
      <c r="M18" s="1315">
        <f t="shared" si="2"/>
        <v>97.7</v>
      </c>
      <c r="N18" s="1311">
        <v>16788</v>
      </c>
      <c r="O18" s="1315">
        <f t="shared" si="2"/>
        <v>88.6</v>
      </c>
      <c r="P18" s="1311">
        <v>18551</v>
      </c>
      <c r="Q18" s="1315">
        <f t="shared" si="3"/>
        <v>97.9</v>
      </c>
      <c r="R18" s="1311">
        <v>17967</v>
      </c>
      <c r="S18" s="1315">
        <f t="shared" si="4"/>
        <v>94.8</v>
      </c>
      <c r="T18" s="1311">
        <v>16785</v>
      </c>
      <c r="U18" s="1315">
        <f t="shared" si="5"/>
        <v>88.6</v>
      </c>
      <c r="V18" s="1311">
        <v>17876</v>
      </c>
      <c r="W18" s="1315">
        <f t="shared" si="6"/>
        <v>94.4</v>
      </c>
      <c r="X18" s="1311">
        <v>17428</v>
      </c>
      <c r="Y18" s="1315">
        <f t="shared" si="7"/>
        <v>92</v>
      </c>
      <c r="Z18" s="1316">
        <v>14261</v>
      </c>
      <c r="AA18" s="1315">
        <f t="shared" si="20"/>
        <v>100.4</v>
      </c>
      <c r="AB18" s="1310">
        <v>10171</v>
      </c>
      <c r="AC18" s="1315">
        <f t="shared" si="21"/>
        <v>71.599999999999994</v>
      </c>
      <c r="AD18" s="1311">
        <v>17891</v>
      </c>
      <c r="AE18" s="1315">
        <f t="shared" si="8"/>
        <v>94.4</v>
      </c>
      <c r="AF18" s="1311">
        <v>16717</v>
      </c>
      <c r="AG18" s="1317">
        <f t="shared" si="9"/>
        <v>88.2</v>
      </c>
      <c r="AH18" s="1321">
        <v>19050</v>
      </c>
      <c r="AI18" s="1314">
        <v>17790</v>
      </c>
      <c r="AJ18" s="1315">
        <f t="shared" si="10"/>
        <v>93.4</v>
      </c>
      <c r="AK18" s="1316">
        <v>16993</v>
      </c>
      <c r="AL18" s="1315">
        <f t="shared" si="22"/>
        <v>89.2</v>
      </c>
      <c r="AM18" s="1200">
        <v>15603</v>
      </c>
      <c r="AN18" s="1315">
        <f t="shared" si="11"/>
        <v>81.900000000000006</v>
      </c>
      <c r="AO18" s="1311">
        <v>16149</v>
      </c>
      <c r="AP18" s="1315">
        <f t="shared" si="12"/>
        <v>84.8</v>
      </c>
      <c r="AQ18" s="1322">
        <v>162</v>
      </c>
      <c r="AR18" s="1315">
        <f t="shared" si="18"/>
        <v>0.85039370078740151</v>
      </c>
      <c r="AS18" s="1322">
        <v>321</v>
      </c>
      <c r="AT18" s="1322">
        <v>248</v>
      </c>
      <c r="AU18" s="1311">
        <v>16079</v>
      </c>
      <c r="AV18" s="1315">
        <f t="shared" si="23"/>
        <v>84.4</v>
      </c>
      <c r="AW18" s="1311">
        <v>15744</v>
      </c>
      <c r="AX18" s="1315">
        <f t="shared" si="13"/>
        <v>82.6</v>
      </c>
      <c r="AY18" s="1311">
        <v>15845</v>
      </c>
      <c r="AZ18" s="1317">
        <f t="shared" si="14"/>
        <v>83.2</v>
      </c>
      <c r="BA18" s="1323">
        <v>18350</v>
      </c>
      <c r="BB18" s="1311">
        <v>16314</v>
      </c>
      <c r="BC18" s="1324">
        <f>ROUND(BB18/$BA18*100,1)</f>
        <v>88.9</v>
      </c>
      <c r="BD18" s="1311">
        <v>16291</v>
      </c>
      <c r="BE18" s="1324">
        <f>ROUND(BD18/$BA18*100,1)</f>
        <v>88.8</v>
      </c>
      <c r="BF18" s="1311">
        <v>16482</v>
      </c>
      <c r="BG18" s="1325">
        <f>ROUND(BF18/$BA18*100,1)</f>
        <v>89.8</v>
      </c>
      <c r="BH18" s="1326">
        <v>3338</v>
      </c>
      <c r="BI18" s="1311">
        <v>11784</v>
      </c>
      <c r="BJ18" s="1327">
        <v>14288</v>
      </c>
      <c r="BK18" s="1326">
        <v>15962</v>
      </c>
      <c r="BL18" s="1328">
        <f t="shared" si="19"/>
        <v>84.3</v>
      </c>
      <c r="BM18" s="1326">
        <v>950</v>
      </c>
      <c r="BN18" s="1311">
        <v>399</v>
      </c>
      <c r="BO18" s="1636">
        <v>56</v>
      </c>
      <c r="BP18" s="1309" t="s">
        <v>347</v>
      </c>
    </row>
    <row r="19" spans="1:68" s="1309" customFormat="1" ht="17.100000000000001" customHeight="1" x14ac:dyDescent="0.25">
      <c r="A19" s="1411">
        <v>15</v>
      </c>
      <c r="B19" s="1312" t="s">
        <v>17</v>
      </c>
      <c r="C19" s="1313">
        <v>16003</v>
      </c>
      <c r="D19" s="1314">
        <v>15080</v>
      </c>
      <c r="E19" s="1315">
        <f t="shared" si="0"/>
        <v>94.2</v>
      </c>
      <c r="F19" s="1316">
        <v>13587</v>
      </c>
      <c r="G19" s="1317">
        <f t="shared" si="0"/>
        <v>84.9</v>
      </c>
      <c r="H19" s="1318">
        <v>1405</v>
      </c>
      <c r="I19" s="1319">
        <f t="shared" si="0"/>
        <v>8.8000000000000007</v>
      </c>
      <c r="J19" s="1320">
        <v>14992</v>
      </c>
      <c r="K19" s="1315">
        <f t="shared" si="1"/>
        <v>93.7</v>
      </c>
      <c r="L19" s="1311">
        <v>15181</v>
      </c>
      <c r="M19" s="1315">
        <f t="shared" si="2"/>
        <v>94.9</v>
      </c>
      <c r="N19" s="1311">
        <v>15205</v>
      </c>
      <c r="O19" s="1315">
        <f t="shared" si="2"/>
        <v>95</v>
      </c>
      <c r="P19" s="1311">
        <v>15186</v>
      </c>
      <c r="Q19" s="1315">
        <f t="shared" si="3"/>
        <v>94.9</v>
      </c>
      <c r="R19" s="1311">
        <v>15220</v>
      </c>
      <c r="S19" s="1315">
        <f t="shared" si="4"/>
        <v>95.1</v>
      </c>
      <c r="T19" s="1311">
        <v>15204</v>
      </c>
      <c r="U19" s="1315">
        <f t="shared" si="5"/>
        <v>95</v>
      </c>
      <c r="V19" s="1311">
        <v>15052</v>
      </c>
      <c r="W19" s="1315">
        <f t="shared" si="6"/>
        <v>94.1</v>
      </c>
      <c r="X19" s="1311">
        <v>15101</v>
      </c>
      <c r="Y19" s="1315">
        <f t="shared" si="7"/>
        <v>94.4</v>
      </c>
      <c r="Z19" s="1316">
        <v>13258</v>
      </c>
      <c r="AA19" s="1315">
        <f t="shared" si="20"/>
        <v>110.5</v>
      </c>
      <c r="AB19" s="1310">
        <v>10539</v>
      </c>
      <c r="AC19" s="1315">
        <f t="shared" si="21"/>
        <v>87.8</v>
      </c>
      <c r="AD19" s="1311">
        <v>15218</v>
      </c>
      <c r="AE19" s="1315">
        <f t="shared" si="8"/>
        <v>95.1</v>
      </c>
      <c r="AF19" s="1311">
        <v>15258</v>
      </c>
      <c r="AG19" s="1317">
        <f t="shared" si="9"/>
        <v>95.3</v>
      </c>
      <c r="AH19" s="1321">
        <v>16381</v>
      </c>
      <c r="AI19" s="1314">
        <v>15675</v>
      </c>
      <c r="AJ19" s="1315">
        <f t="shared" si="10"/>
        <v>95.7</v>
      </c>
      <c r="AK19" s="1316">
        <v>15645</v>
      </c>
      <c r="AL19" s="1315">
        <f t="shared" si="22"/>
        <v>95.5</v>
      </c>
      <c r="AM19" s="1200">
        <v>15016</v>
      </c>
      <c r="AN19" s="1315">
        <f t="shared" si="11"/>
        <v>91.7</v>
      </c>
      <c r="AO19" s="1311">
        <v>15641</v>
      </c>
      <c r="AP19" s="1315">
        <f t="shared" si="12"/>
        <v>95.5</v>
      </c>
      <c r="AQ19" s="1322">
        <v>60</v>
      </c>
      <c r="AR19" s="1315">
        <f t="shared" si="18"/>
        <v>0.36627800500579938</v>
      </c>
      <c r="AS19" s="1322">
        <v>89</v>
      </c>
      <c r="AT19" s="1322">
        <v>76</v>
      </c>
      <c r="AU19" s="1311">
        <v>15704</v>
      </c>
      <c r="AV19" s="1315">
        <f t="shared" si="23"/>
        <v>95.9</v>
      </c>
      <c r="AW19" s="1311">
        <v>15129</v>
      </c>
      <c r="AX19" s="1315">
        <f t="shared" si="13"/>
        <v>92.4</v>
      </c>
      <c r="AY19" s="1311">
        <v>15141</v>
      </c>
      <c r="AZ19" s="1317">
        <f t="shared" si="14"/>
        <v>92.4</v>
      </c>
      <c r="BA19" s="1323">
        <v>18243</v>
      </c>
      <c r="BB19" s="1311">
        <v>16992</v>
      </c>
      <c r="BC19" s="1324">
        <f t="shared" si="15"/>
        <v>93.1</v>
      </c>
      <c r="BD19" s="1311">
        <v>16997</v>
      </c>
      <c r="BE19" s="1324">
        <f t="shared" si="16"/>
        <v>93.2</v>
      </c>
      <c r="BF19" s="1311">
        <v>16989</v>
      </c>
      <c r="BG19" s="1325">
        <f t="shared" si="17"/>
        <v>93.1</v>
      </c>
      <c r="BH19" s="1326">
        <v>8549</v>
      </c>
      <c r="BI19" s="1311">
        <v>44948</v>
      </c>
      <c r="BJ19" s="1327">
        <v>11098</v>
      </c>
      <c r="BK19" s="1326">
        <v>13532</v>
      </c>
      <c r="BL19" s="1328">
        <f t="shared" si="19"/>
        <v>84.6</v>
      </c>
      <c r="BM19" s="1326">
        <v>7539</v>
      </c>
      <c r="BN19" s="1311">
        <v>4461</v>
      </c>
      <c r="BO19" s="1636">
        <v>446</v>
      </c>
      <c r="BP19" s="1309" t="s">
        <v>345</v>
      </c>
    </row>
    <row r="20" spans="1:68" s="1309" customFormat="1" ht="17.100000000000001" customHeight="1" x14ac:dyDescent="0.25">
      <c r="A20" s="1411">
        <v>17</v>
      </c>
      <c r="B20" s="1312" t="s">
        <v>19</v>
      </c>
      <c r="C20" s="1313">
        <v>10096</v>
      </c>
      <c r="D20" s="1314">
        <v>9410</v>
      </c>
      <c r="E20" s="1315">
        <f t="shared" si="0"/>
        <v>93.2</v>
      </c>
      <c r="F20" s="1316">
        <v>9480</v>
      </c>
      <c r="G20" s="1317">
        <f t="shared" si="0"/>
        <v>93.9</v>
      </c>
      <c r="H20" s="1318">
        <v>20</v>
      </c>
      <c r="I20" s="1319">
        <f t="shared" si="0"/>
        <v>0.2</v>
      </c>
      <c r="J20" s="1320">
        <v>9500</v>
      </c>
      <c r="K20" s="1315">
        <f t="shared" si="1"/>
        <v>94.1</v>
      </c>
      <c r="L20" s="1311">
        <v>9672</v>
      </c>
      <c r="M20" s="1315">
        <f t="shared" si="2"/>
        <v>95.8</v>
      </c>
      <c r="N20" s="1311">
        <v>9769</v>
      </c>
      <c r="O20" s="1315">
        <f t="shared" si="2"/>
        <v>96.8</v>
      </c>
      <c r="P20" s="1311">
        <v>9695</v>
      </c>
      <c r="Q20" s="1315">
        <f t="shared" si="3"/>
        <v>96</v>
      </c>
      <c r="R20" s="1311">
        <v>9824</v>
      </c>
      <c r="S20" s="1315">
        <f t="shared" si="4"/>
        <v>97.3</v>
      </c>
      <c r="T20" s="1311">
        <v>9803</v>
      </c>
      <c r="U20" s="1315">
        <f t="shared" si="5"/>
        <v>97.1</v>
      </c>
      <c r="V20" s="1311">
        <v>9371</v>
      </c>
      <c r="W20" s="1315">
        <f t="shared" si="6"/>
        <v>92.8</v>
      </c>
      <c r="X20" s="1311">
        <v>9468</v>
      </c>
      <c r="Y20" s="1315">
        <f t="shared" si="7"/>
        <v>93.8</v>
      </c>
      <c r="Z20" s="1316">
        <v>8539</v>
      </c>
      <c r="AA20" s="1315">
        <f t="shared" si="20"/>
        <v>112.8</v>
      </c>
      <c r="AB20" s="1310">
        <v>6565</v>
      </c>
      <c r="AC20" s="1315">
        <f t="shared" si="21"/>
        <v>86.7</v>
      </c>
      <c r="AD20" s="1311">
        <v>9385</v>
      </c>
      <c r="AE20" s="1315">
        <f t="shared" si="8"/>
        <v>93</v>
      </c>
      <c r="AF20" s="1311">
        <v>9447</v>
      </c>
      <c r="AG20" s="1317">
        <f t="shared" si="9"/>
        <v>93.6</v>
      </c>
      <c r="AH20" s="1321">
        <v>10180</v>
      </c>
      <c r="AI20" s="1314">
        <v>9652</v>
      </c>
      <c r="AJ20" s="1315">
        <f t="shared" si="10"/>
        <v>94.8</v>
      </c>
      <c r="AK20" s="1316">
        <v>9671</v>
      </c>
      <c r="AL20" s="1315">
        <f t="shared" si="22"/>
        <v>95</v>
      </c>
      <c r="AM20" s="1200">
        <v>9391</v>
      </c>
      <c r="AN20" s="1315">
        <f t="shared" si="11"/>
        <v>92.2</v>
      </c>
      <c r="AO20" s="1311">
        <v>9395</v>
      </c>
      <c r="AP20" s="1315">
        <f t="shared" si="12"/>
        <v>92.3</v>
      </c>
      <c r="AQ20" s="1322">
        <v>12</v>
      </c>
      <c r="AR20" s="1315">
        <f t="shared" si="18"/>
        <v>0.11787819253438114</v>
      </c>
      <c r="AS20" s="1322">
        <v>11</v>
      </c>
      <c r="AT20" s="1322">
        <v>53</v>
      </c>
      <c r="AU20" s="1311">
        <v>9765</v>
      </c>
      <c r="AV20" s="1315">
        <f t="shared" si="23"/>
        <v>95.9</v>
      </c>
      <c r="AW20" s="1311">
        <v>9466</v>
      </c>
      <c r="AX20" s="1315">
        <f t="shared" si="13"/>
        <v>93</v>
      </c>
      <c r="AY20" s="1311">
        <v>9706</v>
      </c>
      <c r="AZ20" s="1317">
        <f t="shared" si="14"/>
        <v>95.3</v>
      </c>
      <c r="BA20" s="1323">
        <v>10963</v>
      </c>
      <c r="BB20" s="1311">
        <v>9900</v>
      </c>
      <c r="BC20" s="1324">
        <f t="shared" si="15"/>
        <v>90.3</v>
      </c>
      <c r="BD20" s="1311">
        <v>10008</v>
      </c>
      <c r="BE20" s="1324">
        <f t="shared" si="16"/>
        <v>91.3</v>
      </c>
      <c r="BF20" s="1311">
        <v>9582</v>
      </c>
      <c r="BG20" s="1325">
        <f t="shared" si="17"/>
        <v>87.4</v>
      </c>
      <c r="BH20" s="1326">
        <v>3682</v>
      </c>
      <c r="BI20" s="1311">
        <v>29993</v>
      </c>
      <c r="BJ20" s="1327">
        <v>5690</v>
      </c>
      <c r="BK20" s="1326">
        <v>8408</v>
      </c>
      <c r="BL20" s="1328">
        <f t="shared" si="19"/>
        <v>83.3</v>
      </c>
      <c r="BM20" s="1326">
        <v>3004</v>
      </c>
      <c r="BN20" s="1311">
        <v>1335</v>
      </c>
      <c r="BO20" s="1636">
        <v>183</v>
      </c>
      <c r="BP20" s="1309" t="s">
        <v>345</v>
      </c>
    </row>
    <row r="21" spans="1:68" s="1309" customFormat="1" ht="17.100000000000001" customHeight="1" x14ac:dyDescent="0.25">
      <c r="A21" s="1411">
        <v>18</v>
      </c>
      <c r="B21" s="1329" t="s">
        <v>63</v>
      </c>
      <c r="C21" s="1313">
        <v>8488</v>
      </c>
      <c r="D21" s="1314">
        <v>7608</v>
      </c>
      <c r="E21" s="1315">
        <f t="shared" si="0"/>
        <v>89.6</v>
      </c>
      <c r="F21" s="1316">
        <v>7278</v>
      </c>
      <c r="G21" s="1317">
        <f t="shared" si="0"/>
        <v>85.7</v>
      </c>
      <c r="H21" s="1318">
        <v>122</v>
      </c>
      <c r="I21" s="1319">
        <f t="shared" si="0"/>
        <v>1.4</v>
      </c>
      <c r="J21" s="1320">
        <v>7400</v>
      </c>
      <c r="K21" s="1315">
        <f t="shared" si="1"/>
        <v>87.2</v>
      </c>
      <c r="L21" s="1311">
        <v>7254</v>
      </c>
      <c r="M21" s="1315">
        <f t="shared" si="2"/>
        <v>85.5</v>
      </c>
      <c r="N21" s="1311">
        <v>6722</v>
      </c>
      <c r="O21" s="1315">
        <f t="shared" si="2"/>
        <v>79.2</v>
      </c>
      <c r="P21" s="1311">
        <v>7256</v>
      </c>
      <c r="Q21" s="1315">
        <f t="shared" si="3"/>
        <v>85.5</v>
      </c>
      <c r="R21" s="1311">
        <v>7058</v>
      </c>
      <c r="S21" s="1315">
        <f t="shared" si="4"/>
        <v>83.2</v>
      </c>
      <c r="T21" s="1311">
        <v>6720</v>
      </c>
      <c r="U21" s="1315">
        <f t="shared" si="5"/>
        <v>79.2</v>
      </c>
      <c r="V21" s="1311">
        <v>6843</v>
      </c>
      <c r="W21" s="1315">
        <f t="shared" si="6"/>
        <v>80.599999999999994</v>
      </c>
      <c r="X21" s="1311">
        <v>6759</v>
      </c>
      <c r="Y21" s="1315">
        <f t="shared" si="7"/>
        <v>79.599999999999994</v>
      </c>
      <c r="Z21" s="1316">
        <v>6519</v>
      </c>
      <c r="AA21" s="1315">
        <f t="shared" si="20"/>
        <v>102.4</v>
      </c>
      <c r="AB21" s="1310">
        <v>4858</v>
      </c>
      <c r="AC21" s="1315">
        <f t="shared" si="21"/>
        <v>76.3</v>
      </c>
      <c r="AD21" s="1311">
        <v>7269</v>
      </c>
      <c r="AE21" s="1315">
        <f t="shared" si="8"/>
        <v>85.6</v>
      </c>
      <c r="AF21" s="1311">
        <v>7069</v>
      </c>
      <c r="AG21" s="1317">
        <f t="shared" si="9"/>
        <v>83.3</v>
      </c>
      <c r="AH21" s="1321">
        <v>8617</v>
      </c>
      <c r="AI21" s="1314">
        <v>6983</v>
      </c>
      <c r="AJ21" s="1315">
        <f t="shared" si="10"/>
        <v>81</v>
      </c>
      <c r="AK21" s="1316">
        <v>6949</v>
      </c>
      <c r="AL21" s="1315">
        <f t="shared" si="22"/>
        <v>80.599999999999994</v>
      </c>
      <c r="AM21" s="1200">
        <v>8602</v>
      </c>
      <c r="AN21" s="1315">
        <f t="shared" si="11"/>
        <v>99.8</v>
      </c>
      <c r="AO21" s="1311">
        <v>6806</v>
      </c>
      <c r="AP21" s="1315">
        <f t="shared" si="12"/>
        <v>79</v>
      </c>
      <c r="AQ21" s="1322">
        <v>99</v>
      </c>
      <c r="AR21" s="1315">
        <f t="shared" si="18"/>
        <v>1.1488917256585818</v>
      </c>
      <c r="AS21" s="1322">
        <v>171</v>
      </c>
      <c r="AT21" s="1322">
        <v>125</v>
      </c>
      <c r="AU21" s="1311">
        <v>7001</v>
      </c>
      <c r="AV21" s="1315">
        <f t="shared" si="23"/>
        <v>81.2</v>
      </c>
      <c r="AW21" s="1311">
        <v>6225</v>
      </c>
      <c r="AX21" s="1315">
        <f t="shared" si="13"/>
        <v>72.2</v>
      </c>
      <c r="AY21" s="1311">
        <v>6224</v>
      </c>
      <c r="AZ21" s="1317">
        <f t="shared" si="14"/>
        <v>72.2</v>
      </c>
      <c r="BA21" s="1323">
        <v>9133</v>
      </c>
      <c r="BB21" s="1311">
        <v>7331</v>
      </c>
      <c r="BC21" s="1324">
        <f t="shared" si="15"/>
        <v>80.3</v>
      </c>
      <c r="BD21" s="1311">
        <v>7334</v>
      </c>
      <c r="BE21" s="1324">
        <f t="shared" si="16"/>
        <v>80.3</v>
      </c>
      <c r="BF21" s="1311">
        <v>7377</v>
      </c>
      <c r="BG21" s="1325">
        <f t="shared" si="17"/>
        <v>80.8</v>
      </c>
      <c r="BH21" s="1326">
        <v>1235</v>
      </c>
      <c r="BI21" s="1311">
        <v>8748</v>
      </c>
      <c r="BJ21" s="1327">
        <v>5558</v>
      </c>
      <c r="BK21" s="1326">
        <v>6123</v>
      </c>
      <c r="BL21" s="1328">
        <f t="shared" si="19"/>
        <v>72.099999999999994</v>
      </c>
      <c r="BM21" s="1326">
        <v>2657</v>
      </c>
      <c r="BN21" s="1311">
        <v>1686</v>
      </c>
      <c r="BO21" s="1636">
        <v>131</v>
      </c>
      <c r="BP21" s="1309" t="s">
        <v>344</v>
      </c>
    </row>
    <row r="22" spans="1:68" s="1309" customFormat="1" ht="17.100000000000001" customHeight="1" x14ac:dyDescent="0.25">
      <c r="A22" s="1411">
        <v>85</v>
      </c>
      <c r="B22" s="1312" t="s">
        <v>21</v>
      </c>
      <c r="C22" s="1313">
        <v>7346</v>
      </c>
      <c r="D22" s="1314">
        <v>6542</v>
      </c>
      <c r="E22" s="1315">
        <f t="shared" si="0"/>
        <v>89.1</v>
      </c>
      <c r="F22" s="1316">
        <v>5791</v>
      </c>
      <c r="G22" s="1317">
        <f t="shared" si="0"/>
        <v>78.8</v>
      </c>
      <c r="H22" s="1318">
        <v>17</v>
      </c>
      <c r="I22" s="1319">
        <f t="shared" si="0"/>
        <v>0.2</v>
      </c>
      <c r="J22" s="1320">
        <v>5808</v>
      </c>
      <c r="K22" s="1315">
        <f t="shared" si="1"/>
        <v>79.099999999999994</v>
      </c>
      <c r="L22" s="1311">
        <v>6641</v>
      </c>
      <c r="M22" s="1315">
        <f t="shared" si="2"/>
        <v>90.4</v>
      </c>
      <c r="N22" s="1311">
        <v>6588</v>
      </c>
      <c r="O22" s="1315">
        <f t="shared" si="2"/>
        <v>89.7</v>
      </c>
      <c r="P22" s="1311">
        <v>6644</v>
      </c>
      <c r="Q22" s="1315">
        <f t="shared" si="3"/>
        <v>90.4</v>
      </c>
      <c r="R22" s="1311">
        <v>6582</v>
      </c>
      <c r="S22" s="1315">
        <f t="shared" si="4"/>
        <v>89.6</v>
      </c>
      <c r="T22" s="1311">
        <v>6606</v>
      </c>
      <c r="U22" s="1315">
        <f t="shared" si="5"/>
        <v>89.9</v>
      </c>
      <c r="V22" s="1311">
        <v>6552</v>
      </c>
      <c r="W22" s="1315">
        <f t="shared" si="6"/>
        <v>89.2</v>
      </c>
      <c r="X22" s="1311">
        <v>6500</v>
      </c>
      <c r="Y22" s="1315">
        <f t="shared" si="7"/>
        <v>88.5</v>
      </c>
      <c r="Z22" s="1316">
        <v>5979</v>
      </c>
      <c r="AA22" s="1315">
        <f t="shared" si="20"/>
        <v>108.5</v>
      </c>
      <c r="AB22" s="1310">
        <v>4360</v>
      </c>
      <c r="AC22" s="1315">
        <f t="shared" si="21"/>
        <v>79.099999999999994</v>
      </c>
      <c r="AD22" s="1311">
        <v>6638</v>
      </c>
      <c r="AE22" s="1315">
        <f t="shared" si="8"/>
        <v>90.4</v>
      </c>
      <c r="AF22" s="1311">
        <v>6521</v>
      </c>
      <c r="AG22" s="1317">
        <f t="shared" si="9"/>
        <v>88.8</v>
      </c>
      <c r="AH22" s="1321">
        <v>7543</v>
      </c>
      <c r="AI22" s="1314">
        <v>6687</v>
      </c>
      <c r="AJ22" s="1315">
        <f t="shared" si="10"/>
        <v>88.7</v>
      </c>
      <c r="AK22" s="1316">
        <v>6644</v>
      </c>
      <c r="AL22" s="1315">
        <f t="shared" si="22"/>
        <v>88.1</v>
      </c>
      <c r="AM22" s="1200">
        <v>9301</v>
      </c>
      <c r="AN22" s="1315">
        <f t="shared" si="11"/>
        <v>123.3</v>
      </c>
      <c r="AO22" s="1311">
        <v>6657</v>
      </c>
      <c r="AP22" s="1315">
        <f t="shared" si="12"/>
        <v>88.3</v>
      </c>
      <c r="AQ22" s="1322">
        <v>13</v>
      </c>
      <c r="AR22" s="1315">
        <f t="shared" si="18"/>
        <v>0.1723452207344558</v>
      </c>
      <c r="AS22" s="1322">
        <v>24</v>
      </c>
      <c r="AT22" s="1322">
        <v>36</v>
      </c>
      <c r="AU22" s="1311">
        <v>6693</v>
      </c>
      <c r="AV22" s="1315">
        <f t="shared" si="23"/>
        <v>88.7</v>
      </c>
      <c r="AW22" s="1311">
        <v>6829</v>
      </c>
      <c r="AX22" s="1315">
        <f t="shared" si="13"/>
        <v>90.5</v>
      </c>
      <c r="AY22" s="1311">
        <v>6829</v>
      </c>
      <c r="AZ22" s="1317">
        <f t="shared" si="14"/>
        <v>90.5</v>
      </c>
      <c r="BA22" s="1323">
        <v>7544</v>
      </c>
      <c r="BB22" s="1311">
        <v>7246</v>
      </c>
      <c r="BC22" s="1324">
        <f t="shared" si="15"/>
        <v>96</v>
      </c>
      <c r="BD22" s="1311">
        <v>7252</v>
      </c>
      <c r="BE22" s="1324">
        <f t="shared" si="16"/>
        <v>96.1</v>
      </c>
      <c r="BF22" s="1311">
        <v>7249</v>
      </c>
      <c r="BG22" s="1325">
        <f t="shared" si="17"/>
        <v>96.1</v>
      </c>
      <c r="BH22" s="1326">
        <v>529</v>
      </c>
      <c r="BI22" s="1311">
        <v>5201</v>
      </c>
      <c r="BJ22" s="1327">
        <v>4476</v>
      </c>
      <c r="BK22" s="1326">
        <v>5700</v>
      </c>
      <c r="BL22" s="1328">
        <f t="shared" si="19"/>
        <v>77.599999999999994</v>
      </c>
      <c r="BM22" s="1326">
        <v>1833</v>
      </c>
      <c r="BN22" s="1311">
        <v>656</v>
      </c>
      <c r="BO22" s="1636">
        <v>14</v>
      </c>
      <c r="BP22" s="1309" t="s">
        <v>346</v>
      </c>
    </row>
    <row r="23" spans="1:68" s="1309" customFormat="1" ht="17.100000000000001" customHeight="1" x14ac:dyDescent="0.25">
      <c r="A23" s="1411">
        <v>19</v>
      </c>
      <c r="B23" s="1329" t="s">
        <v>18</v>
      </c>
      <c r="C23" s="1313">
        <v>21816</v>
      </c>
      <c r="D23" s="1314">
        <v>17990</v>
      </c>
      <c r="E23" s="1315">
        <f t="shared" si="0"/>
        <v>82.5</v>
      </c>
      <c r="F23" s="1316">
        <v>16170</v>
      </c>
      <c r="G23" s="1317">
        <f t="shared" si="0"/>
        <v>74.099999999999994</v>
      </c>
      <c r="H23" s="1318">
        <v>1427</v>
      </c>
      <c r="I23" s="1319">
        <f t="shared" si="0"/>
        <v>6.5</v>
      </c>
      <c r="J23" s="1320">
        <v>17597</v>
      </c>
      <c r="K23" s="1315">
        <f t="shared" si="1"/>
        <v>80.7</v>
      </c>
      <c r="L23" s="1311">
        <v>21088</v>
      </c>
      <c r="M23" s="1315">
        <f t="shared" si="2"/>
        <v>96.7</v>
      </c>
      <c r="N23" s="1311">
        <v>20713</v>
      </c>
      <c r="O23" s="1315">
        <f t="shared" si="2"/>
        <v>94.9</v>
      </c>
      <c r="P23" s="1311">
        <v>21104</v>
      </c>
      <c r="Q23" s="1315">
        <f t="shared" si="3"/>
        <v>96.7</v>
      </c>
      <c r="R23" s="1311">
        <v>20704</v>
      </c>
      <c r="S23" s="1315">
        <f t="shared" si="4"/>
        <v>94.9</v>
      </c>
      <c r="T23" s="1311">
        <v>20715</v>
      </c>
      <c r="U23" s="1315">
        <f t="shared" si="5"/>
        <v>95</v>
      </c>
      <c r="V23" s="1311">
        <v>20429</v>
      </c>
      <c r="W23" s="1315">
        <f t="shared" si="6"/>
        <v>93.6</v>
      </c>
      <c r="X23" s="1311">
        <v>20155</v>
      </c>
      <c r="Y23" s="1315">
        <f t="shared" si="7"/>
        <v>92.4</v>
      </c>
      <c r="Z23" s="1316">
        <v>19045</v>
      </c>
      <c r="AA23" s="1315">
        <f t="shared" si="20"/>
        <v>116.4</v>
      </c>
      <c r="AB23" s="1310">
        <v>12983</v>
      </c>
      <c r="AC23" s="1315">
        <f t="shared" si="21"/>
        <v>79.3</v>
      </c>
      <c r="AD23" s="1311">
        <v>20417</v>
      </c>
      <c r="AE23" s="1315">
        <f t="shared" si="8"/>
        <v>93.6</v>
      </c>
      <c r="AF23" s="1311">
        <v>20364</v>
      </c>
      <c r="AG23" s="1317">
        <f t="shared" si="9"/>
        <v>93.3</v>
      </c>
      <c r="AH23" s="1321">
        <v>22336</v>
      </c>
      <c r="AI23" s="1314">
        <v>21265</v>
      </c>
      <c r="AJ23" s="1315">
        <f t="shared" si="10"/>
        <v>95.2</v>
      </c>
      <c r="AK23" s="1316">
        <v>21039</v>
      </c>
      <c r="AL23" s="1315">
        <f t="shared" si="22"/>
        <v>94.2</v>
      </c>
      <c r="AM23" s="1200">
        <v>19422</v>
      </c>
      <c r="AN23" s="1315">
        <f t="shared" si="11"/>
        <v>87</v>
      </c>
      <c r="AO23" s="1311">
        <v>20258</v>
      </c>
      <c r="AP23" s="1315">
        <f t="shared" si="12"/>
        <v>90.7</v>
      </c>
      <c r="AQ23" s="1322">
        <v>105</v>
      </c>
      <c r="AR23" s="1315">
        <f t="shared" si="18"/>
        <v>0.47009312320916907</v>
      </c>
      <c r="AS23" s="1322">
        <v>239</v>
      </c>
      <c r="AT23" s="1322">
        <v>105</v>
      </c>
      <c r="AU23" s="1311">
        <v>21078</v>
      </c>
      <c r="AV23" s="1315">
        <f t="shared" si="23"/>
        <v>94.4</v>
      </c>
      <c r="AW23" s="1311">
        <v>19566</v>
      </c>
      <c r="AX23" s="1315">
        <f t="shared" si="13"/>
        <v>87.6</v>
      </c>
      <c r="AY23" s="1311">
        <v>19540</v>
      </c>
      <c r="AZ23" s="1317">
        <f t="shared" si="14"/>
        <v>87.5</v>
      </c>
      <c r="BA23" s="1323">
        <v>23015</v>
      </c>
      <c r="BB23" s="1311">
        <v>21289</v>
      </c>
      <c r="BC23" s="1324">
        <f t="shared" si="15"/>
        <v>92.5</v>
      </c>
      <c r="BD23" s="1311">
        <v>21288</v>
      </c>
      <c r="BE23" s="1324">
        <f t="shared" si="16"/>
        <v>92.5</v>
      </c>
      <c r="BF23" s="1311">
        <v>21162</v>
      </c>
      <c r="BG23" s="1325">
        <f t="shared" si="17"/>
        <v>91.9</v>
      </c>
      <c r="BH23" s="1326">
        <v>4300</v>
      </c>
      <c r="BI23" s="1311">
        <v>43452</v>
      </c>
      <c r="BJ23" s="1327">
        <v>12807</v>
      </c>
      <c r="BK23" s="1326">
        <v>16279</v>
      </c>
      <c r="BL23" s="1328">
        <f t="shared" si="19"/>
        <v>74.599999999999994</v>
      </c>
      <c r="BM23" s="1326">
        <v>6461</v>
      </c>
      <c r="BN23" s="1311">
        <v>2238</v>
      </c>
      <c r="BO23" s="1636">
        <v>145</v>
      </c>
      <c r="BP23" s="1309" t="s">
        <v>352</v>
      </c>
    </row>
    <row r="24" spans="1:68" s="1309" customFormat="1" ht="17.100000000000001" customHeight="1" x14ac:dyDescent="0.25">
      <c r="A24" s="1411">
        <v>20</v>
      </c>
      <c r="B24" s="1329" t="s">
        <v>22</v>
      </c>
      <c r="C24" s="1313">
        <v>23054</v>
      </c>
      <c r="D24" s="1314">
        <v>21378</v>
      </c>
      <c r="E24" s="1315">
        <f t="shared" si="0"/>
        <v>92.7</v>
      </c>
      <c r="F24" s="1316">
        <v>20330</v>
      </c>
      <c r="G24" s="1317">
        <f t="shared" si="0"/>
        <v>88.2</v>
      </c>
      <c r="H24" s="1318">
        <v>281</v>
      </c>
      <c r="I24" s="1319">
        <f t="shared" si="0"/>
        <v>1.2</v>
      </c>
      <c r="J24" s="1320">
        <v>20611</v>
      </c>
      <c r="K24" s="1315">
        <f t="shared" si="1"/>
        <v>89.4</v>
      </c>
      <c r="L24" s="1311">
        <v>22755</v>
      </c>
      <c r="M24" s="1315">
        <f t="shared" si="2"/>
        <v>98.7</v>
      </c>
      <c r="N24" s="1311">
        <v>21262</v>
      </c>
      <c r="O24" s="1315">
        <f t="shared" si="2"/>
        <v>92.2</v>
      </c>
      <c r="P24" s="1311">
        <v>22779</v>
      </c>
      <c r="Q24" s="1315">
        <f t="shared" si="3"/>
        <v>98.8</v>
      </c>
      <c r="R24" s="1311">
        <v>22054</v>
      </c>
      <c r="S24" s="1315">
        <f t="shared" si="4"/>
        <v>95.7</v>
      </c>
      <c r="T24" s="1311">
        <v>21256</v>
      </c>
      <c r="U24" s="1315">
        <f t="shared" si="5"/>
        <v>92.2</v>
      </c>
      <c r="V24" s="1311">
        <v>21779</v>
      </c>
      <c r="W24" s="1315">
        <f t="shared" si="6"/>
        <v>94.5</v>
      </c>
      <c r="X24" s="1311">
        <v>21202</v>
      </c>
      <c r="Y24" s="1315">
        <f t="shared" si="7"/>
        <v>92</v>
      </c>
      <c r="Z24" s="1316">
        <v>18349</v>
      </c>
      <c r="AA24" s="1315">
        <f t="shared" si="20"/>
        <v>106.1</v>
      </c>
      <c r="AB24" s="1310">
        <v>13555</v>
      </c>
      <c r="AC24" s="1315">
        <f t="shared" si="21"/>
        <v>78.400000000000006</v>
      </c>
      <c r="AD24" s="1311">
        <v>21982</v>
      </c>
      <c r="AE24" s="1315">
        <f t="shared" si="8"/>
        <v>95.4</v>
      </c>
      <c r="AF24" s="1311">
        <v>21039</v>
      </c>
      <c r="AG24" s="1317">
        <f t="shared" si="9"/>
        <v>91.3</v>
      </c>
      <c r="AH24" s="1321">
        <v>23487</v>
      </c>
      <c r="AI24" s="1314">
        <v>22458</v>
      </c>
      <c r="AJ24" s="1315">
        <f t="shared" si="10"/>
        <v>95.6</v>
      </c>
      <c r="AK24" s="1316">
        <v>21916</v>
      </c>
      <c r="AL24" s="1315">
        <f t="shared" si="22"/>
        <v>93.3</v>
      </c>
      <c r="AM24" s="1200">
        <v>21103</v>
      </c>
      <c r="AN24" s="1315">
        <f t="shared" si="11"/>
        <v>89.8</v>
      </c>
      <c r="AO24" s="1311">
        <v>21197</v>
      </c>
      <c r="AP24" s="1315">
        <f t="shared" si="12"/>
        <v>90.2</v>
      </c>
      <c r="AQ24" s="1322">
        <v>393</v>
      </c>
      <c r="AR24" s="1315">
        <f t="shared" si="18"/>
        <v>1.6732660620768935</v>
      </c>
      <c r="AS24" s="1322">
        <v>443</v>
      </c>
      <c r="AT24" s="1322">
        <v>546</v>
      </c>
      <c r="AU24" s="1311">
        <v>22378</v>
      </c>
      <c r="AV24" s="1315">
        <f t="shared" si="23"/>
        <v>95.3</v>
      </c>
      <c r="AW24" s="1311">
        <v>20574</v>
      </c>
      <c r="AX24" s="1315">
        <f t="shared" si="13"/>
        <v>87.6</v>
      </c>
      <c r="AY24" s="1311">
        <v>20581</v>
      </c>
      <c r="AZ24" s="1317">
        <f t="shared" si="14"/>
        <v>87.6</v>
      </c>
      <c r="BA24" s="1323">
        <v>24069</v>
      </c>
      <c r="BB24" s="1311">
        <v>22496</v>
      </c>
      <c r="BC24" s="1324">
        <f t="shared" si="15"/>
        <v>93.5</v>
      </c>
      <c r="BD24" s="1311">
        <v>22492</v>
      </c>
      <c r="BE24" s="1324">
        <f t="shared" si="16"/>
        <v>93.4</v>
      </c>
      <c r="BF24" s="1311">
        <v>21944</v>
      </c>
      <c r="BG24" s="1325">
        <f t="shared" si="17"/>
        <v>91.2</v>
      </c>
      <c r="BH24" s="1326">
        <v>608</v>
      </c>
      <c r="BI24" s="1311">
        <v>26087</v>
      </c>
      <c r="BJ24" s="1327">
        <v>14683</v>
      </c>
      <c r="BK24" s="1326">
        <v>20209</v>
      </c>
      <c r="BL24" s="1328">
        <f t="shared" si="19"/>
        <v>87.7</v>
      </c>
      <c r="BM24" s="1326">
        <v>2350</v>
      </c>
      <c r="BN24" s="1311">
        <v>963</v>
      </c>
      <c r="BO24" s="1636">
        <v>26</v>
      </c>
      <c r="BP24" s="1309" t="s">
        <v>347</v>
      </c>
    </row>
    <row r="25" spans="1:68" s="1309" customFormat="1" ht="17.100000000000001" customHeight="1" x14ac:dyDescent="0.25">
      <c r="A25" s="1411" t="s">
        <v>264</v>
      </c>
      <c r="B25" s="1329" t="s">
        <v>24</v>
      </c>
      <c r="C25" s="1313">
        <v>11015</v>
      </c>
      <c r="D25" s="1314">
        <v>9249</v>
      </c>
      <c r="E25" s="1315">
        <f t="shared" si="0"/>
        <v>84</v>
      </c>
      <c r="F25" s="1316">
        <v>5541</v>
      </c>
      <c r="G25" s="1317">
        <f t="shared" si="0"/>
        <v>50.3</v>
      </c>
      <c r="H25" s="1318">
        <v>1586</v>
      </c>
      <c r="I25" s="1319">
        <f t="shared" si="0"/>
        <v>14.4</v>
      </c>
      <c r="J25" s="1320">
        <v>7127</v>
      </c>
      <c r="K25" s="1315">
        <f t="shared" si="1"/>
        <v>64.7</v>
      </c>
      <c r="L25" s="1311">
        <v>10358</v>
      </c>
      <c r="M25" s="1315">
        <f t="shared" si="2"/>
        <v>94</v>
      </c>
      <c r="N25" s="1311">
        <v>8519</v>
      </c>
      <c r="O25" s="1315">
        <f t="shared" si="2"/>
        <v>77.3</v>
      </c>
      <c r="P25" s="1311">
        <v>10363</v>
      </c>
      <c r="Q25" s="1315">
        <f t="shared" si="3"/>
        <v>94.1</v>
      </c>
      <c r="R25" s="1311">
        <v>9323</v>
      </c>
      <c r="S25" s="1315">
        <f t="shared" si="4"/>
        <v>84.6</v>
      </c>
      <c r="T25" s="1311">
        <v>8517</v>
      </c>
      <c r="U25" s="1315">
        <f t="shared" si="5"/>
        <v>77.3</v>
      </c>
      <c r="V25" s="1311">
        <v>8518</v>
      </c>
      <c r="W25" s="1315">
        <f t="shared" si="6"/>
        <v>77.3</v>
      </c>
      <c r="X25" s="1311">
        <v>8053</v>
      </c>
      <c r="Y25" s="1315">
        <f t="shared" si="7"/>
        <v>73.099999999999994</v>
      </c>
      <c r="Z25" s="1316">
        <v>7561</v>
      </c>
      <c r="AA25" s="1315">
        <f t="shared" si="20"/>
        <v>91.5</v>
      </c>
      <c r="AB25" s="1310">
        <v>4434</v>
      </c>
      <c r="AC25" s="1315">
        <f t="shared" si="21"/>
        <v>53.7</v>
      </c>
      <c r="AD25" s="1311">
        <v>10421</v>
      </c>
      <c r="AE25" s="1315">
        <f t="shared" si="8"/>
        <v>94.6</v>
      </c>
      <c r="AF25" s="1311">
        <v>9363</v>
      </c>
      <c r="AG25" s="1317">
        <f t="shared" si="9"/>
        <v>85</v>
      </c>
      <c r="AH25" s="1321">
        <v>11596</v>
      </c>
      <c r="AI25" s="1314">
        <v>9661</v>
      </c>
      <c r="AJ25" s="1315">
        <f t="shared" si="10"/>
        <v>83.3</v>
      </c>
      <c r="AK25" s="1316">
        <v>9290</v>
      </c>
      <c r="AL25" s="1315">
        <f t="shared" si="22"/>
        <v>80.099999999999994</v>
      </c>
      <c r="AM25" s="1200">
        <v>11850</v>
      </c>
      <c r="AN25" s="1315">
        <f t="shared" si="11"/>
        <v>102.2</v>
      </c>
      <c r="AO25" s="1311">
        <v>9374</v>
      </c>
      <c r="AP25" s="1315">
        <f t="shared" si="12"/>
        <v>80.8</v>
      </c>
      <c r="AQ25" s="1322">
        <v>209</v>
      </c>
      <c r="AR25" s="1315">
        <f t="shared" si="18"/>
        <v>1.8023456364263539</v>
      </c>
      <c r="AS25" s="1322">
        <v>575</v>
      </c>
      <c r="AT25" s="1322">
        <v>184</v>
      </c>
      <c r="AU25" s="1311">
        <v>9476</v>
      </c>
      <c r="AV25" s="1315">
        <f t="shared" si="23"/>
        <v>81.7</v>
      </c>
      <c r="AW25" s="1311">
        <v>6927</v>
      </c>
      <c r="AX25" s="1315">
        <f t="shared" si="13"/>
        <v>59.7</v>
      </c>
      <c r="AY25" s="1311">
        <v>6929</v>
      </c>
      <c r="AZ25" s="1317">
        <f t="shared" si="14"/>
        <v>59.8</v>
      </c>
      <c r="BA25" s="1323">
        <v>11409</v>
      </c>
      <c r="BB25" s="1311">
        <v>8781</v>
      </c>
      <c r="BC25" s="1324">
        <f t="shared" si="15"/>
        <v>77</v>
      </c>
      <c r="BD25" s="1311">
        <v>8781</v>
      </c>
      <c r="BE25" s="1324">
        <f t="shared" si="16"/>
        <v>77</v>
      </c>
      <c r="BF25" s="1311">
        <v>8757</v>
      </c>
      <c r="BG25" s="1325">
        <f t="shared" si="17"/>
        <v>76.8</v>
      </c>
      <c r="BH25" s="1326">
        <v>2133</v>
      </c>
      <c r="BI25" s="1311">
        <v>6038</v>
      </c>
      <c r="BJ25" s="1327">
        <v>5691</v>
      </c>
      <c r="BK25" s="1326">
        <v>6880</v>
      </c>
      <c r="BL25" s="1328">
        <f t="shared" si="19"/>
        <v>62.5</v>
      </c>
      <c r="BM25" s="1326">
        <v>2114</v>
      </c>
      <c r="BN25" s="1311">
        <v>978</v>
      </c>
      <c r="BO25" s="1636">
        <v>4</v>
      </c>
      <c r="BP25" s="1309" t="s">
        <v>352</v>
      </c>
    </row>
    <row r="26" spans="1:68" s="1309" customFormat="1" ht="17.100000000000001" customHeight="1" x14ac:dyDescent="0.25">
      <c r="A26" s="1411">
        <v>23</v>
      </c>
      <c r="B26" s="1329" t="s">
        <v>64</v>
      </c>
      <c r="C26" s="1313">
        <v>31722</v>
      </c>
      <c r="D26" s="1314">
        <v>26405</v>
      </c>
      <c r="E26" s="1315">
        <f t="shared" si="0"/>
        <v>83.2</v>
      </c>
      <c r="F26" s="1316">
        <v>23916</v>
      </c>
      <c r="G26" s="1317">
        <f t="shared" si="0"/>
        <v>75.400000000000006</v>
      </c>
      <c r="H26" s="1318">
        <v>2263</v>
      </c>
      <c r="I26" s="1319">
        <f t="shared" si="0"/>
        <v>7.1</v>
      </c>
      <c r="J26" s="1320">
        <v>26179</v>
      </c>
      <c r="K26" s="1315">
        <f t="shared" si="1"/>
        <v>82.5</v>
      </c>
      <c r="L26" s="1311">
        <v>28687</v>
      </c>
      <c r="M26" s="1315">
        <f t="shared" si="2"/>
        <v>90.4</v>
      </c>
      <c r="N26" s="1311">
        <v>28670</v>
      </c>
      <c r="O26" s="1315">
        <f t="shared" si="2"/>
        <v>90.4</v>
      </c>
      <c r="P26" s="1311">
        <v>28765</v>
      </c>
      <c r="Q26" s="1315">
        <f t="shared" si="3"/>
        <v>90.7</v>
      </c>
      <c r="R26" s="1311">
        <v>28533</v>
      </c>
      <c r="S26" s="1315">
        <f t="shared" si="4"/>
        <v>89.9</v>
      </c>
      <c r="T26" s="1311">
        <v>28672</v>
      </c>
      <c r="U26" s="1315">
        <f t="shared" si="5"/>
        <v>90.4</v>
      </c>
      <c r="V26" s="1311">
        <v>28045</v>
      </c>
      <c r="W26" s="1315">
        <f t="shared" si="6"/>
        <v>88.4</v>
      </c>
      <c r="X26" s="1311">
        <v>27758</v>
      </c>
      <c r="Y26" s="1315">
        <f t="shared" si="7"/>
        <v>87.5</v>
      </c>
      <c r="Z26" s="1316">
        <v>22699</v>
      </c>
      <c r="AA26" s="1315">
        <f t="shared" si="20"/>
        <v>95.4</v>
      </c>
      <c r="AB26" s="1310">
        <v>15741</v>
      </c>
      <c r="AC26" s="1315">
        <f t="shared" si="21"/>
        <v>66.2</v>
      </c>
      <c r="AD26" s="1311">
        <v>28365</v>
      </c>
      <c r="AE26" s="1315">
        <f t="shared" si="8"/>
        <v>89.4</v>
      </c>
      <c r="AF26" s="1311">
        <v>28561</v>
      </c>
      <c r="AG26" s="1317">
        <f t="shared" si="9"/>
        <v>90</v>
      </c>
      <c r="AH26" s="1321">
        <v>31986</v>
      </c>
      <c r="AI26" s="1314">
        <v>28293</v>
      </c>
      <c r="AJ26" s="1315">
        <f t="shared" si="10"/>
        <v>88.5</v>
      </c>
      <c r="AK26" s="1316">
        <v>26921</v>
      </c>
      <c r="AL26" s="1315">
        <f t="shared" si="22"/>
        <v>84.2</v>
      </c>
      <c r="AM26" s="1200">
        <v>26566</v>
      </c>
      <c r="AN26" s="1315">
        <f t="shared" si="11"/>
        <v>83.1</v>
      </c>
      <c r="AO26" s="1311">
        <v>27811</v>
      </c>
      <c r="AP26" s="1315">
        <f t="shared" si="12"/>
        <v>86.9</v>
      </c>
      <c r="AQ26" s="1322">
        <v>170</v>
      </c>
      <c r="AR26" s="1315">
        <f t="shared" si="18"/>
        <v>0.53148252360407677</v>
      </c>
      <c r="AS26" s="1322">
        <v>220</v>
      </c>
      <c r="AT26" s="1322">
        <v>172</v>
      </c>
      <c r="AU26" s="1311">
        <v>28169</v>
      </c>
      <c r="AV26" s="1315">
        <f t="shared" si="23"/>
        <v>88.1</v>
      </c>
      <c r="AW26" s="1311">
        <v>26773</v>
      </c>
      <c r="AX26" s="1315">
        <f t="shared" si="13"/>
        <v>83.7</v>
      </c>
      <c r="AY26" s="1311">
        <v>26766</v>
      </c>
      <c r="AZ26" s="1317">
        <f t="shared" si="14"/>
        <v>83.7</v>
      </c>
      <c r="BA26" s="1323">
        <v>32306</v>
      </c>
      <c r="BB26" s="1311">
        <v>29229</v>
      </c>
      <c r="BC26" s="1324">
        <f t="shared" si="15"/>
        <v>90.5</v>
      </c>
      <c r="BD26" s="1311">
        <v>29198</v>
      </c>
      <c r="BE26" s="1324">
        <f t="shared" si="16"/>
        <v>90.4</v>
      </c>
      <c r="BF26" s="1311">
        <v>29058</v>
      </c>
      <c r="BG26" s="1325">
        <f t="shared" si="17"/>
        <v>89.9</v>
      </c>
      <c r="BH26" s="1326">
        <v>8194</v>
      </c>
      <c r="BI26" s="1311">
        <v>20807</v>
      </c>
      <c r="BJ26" s="1327">
        <v>20546</v>
      </c>
      <c r="BK26" s="1326">
        <v>23799</v>
      </c>
      <c r="BL26" s="1328">
        <f t="shared" si="19"/>
        <v>75</v>
      </c>
      <c r="BM26" s="1326">
        <v>3969</v>
      </c>
      <c r="BN26" s="1311">
        <v>851</v>
      </c>
      <c r="BO26" s="1636">
        <v>62</v>
      </c>
      <c r="BP26" s="1309" t="s">
        <v>347</v>
      </c>
    </row>
    <row r="27" spans="1:68" s="1309" customFormat="1" ht="17.100000000000001" customHeight="1" x14ac:dyDescent="0.25">
      <c r="A27" s="1411">
        <v>25</v>
      </c>
      <c r="B27" s="1329" t="s">
        <v>122</v>
      </c>
      <c r="C27" s="1313">
        <v>35365</v>
      </c>
      <c r="D27" s="1314">
        <v>18824</v>
      </c>
      <c r="E27" s="1315">
        <f t="shared" si="0"/>
        <v>53.2</v>
      </c>
      <c r="F27" s="1316">
        <v>17187</v>
      </c>
      <c r="G27" s="1317">
        <f t="shared" si="0"/>
        <v>48.6</v>
      </c>
      <c r="H27" s="1318">
        <v>1469</v>
      </c>
      <c r="I27" s="1319">
        <f t="shared" si="0"/>
        <v>4.2</v>
      </c>
      <c r="J27" s="1320">
        <v>18656</v>
      </c>
      <c r="K27" s="1315">
        <f t="shared" si="1"/>
        <v>52.8</v>
      </c>
      <c r="L27" s="1311">
        <v>31640</v>
      </c>
      <c r="M27" s="1315">
        <f t="shared" si="2"/>
        <v>89.5</v>
      </c>
      <c r="N27" s="1311">
        <v>33620</v>
      </c>
      <c r="O27" s="1315">
        <f t="shared" si="2"/>
        <v>95.1</v>
      </c>
      <c r="P27" s="1311">
        <v>31651</v>
      </c>
      <c r="Q27" s="1315">
        <f t="shared" si="3"/>
        <v>89.5</v>
      </c>
      <c r="R27" s="1311">
        <v>32620</v>
      </c>
      <c r="S27" s="1315">
        <f t="shared" si="4"/>
        <v>92.2</v>
      </c>
      <c r="T27" s="1311">
        <v>33628</v>
      </c>
      <c r="U27" s="1315">
        <f t="shared" si="5"/>
        <v>95.1</v>
      </c>
      <c r="V27" s="1311">
        <v>31292</v>
      </c>
      <c r="W27" s="1315">
        <f t="shared" si="6"/>
        <v>88.5</v>
      </c>
      <c r="X27" s="1311">
        <v>32293</v>
      </c>
      <c r="Y27" s="1315">
        <f t="shared" si="7"/>
        <v>91.3</v>
      </c>
      <c r="Z27" s="1316">
        <v>25848</v>
      </c>
      <c r="AA27" s="1315">
        <f t="shared" si="20"/>
        <v>97.5</v>
      </c>
      <c r="AB27" s="1310">
        <v>17760</v>
      </c>
      <c r="AC27" s="1315">
        <f t="shared" si="21"/>
        <v>67</v>
      </c>
      <c r="AD27" s="1311">
        <v>31455</v>
      </c>
      <c r="AE27" s="1315">
        <f t="shared" si="8"/>
        <v>88.9</v>
      </c>
      <c r="AF27" s="1311">
        <v>32377</v>
      </c>
      <c r="AG27" s="1317">
        <f t="shared" si="9"/>
        <v>91.6</v>
      </c>
      <c r="AH27" s="1321">
        <v>36312</v>
      </c>
      <c r="AI27" s="1314">
        <v>34536</v>
      </c>
      <c r="AJ27" s="1315">
        <f t="shared" si="10"/>
        <v>95.1</v>
      </c>
      <c r="AK27" s="1316">
        <v>33303</v>
      </c>
      <c r="AL27" s="1315">
        <f t="shared" si="22"/>
        <v>91.7</v>
      </c>
      <c r="AM27" s="1200">
        <v>32506</v>
      </c>
      <c r="AN27" s="1315">
        <f t="shared" si="11"/>
        <v>89.5</v>
      </c>
      <c r="AO27" s="1311">
        <v>33994</v>
      </c>
      <c r="AP27" s="1315">
        <f t="shared" si="12"/>
        <v>93.6</v>
      </c>
      <c r="AQ27" s="1322">
        <v>77</v>
      </c>
      <c r="AR27" s="1315">
        <f t="shared" si="18"/>
        <v>0.21205111257986339</v>
      </c>
      <c r="AS27" s="1322">
        <v>96</v>
      </c>
      <c r="AT27" s="1322">
        <v>184</v>
      </c>
      <c r="AU27" s="1311">
        <v>33151</v>
      </c>
      <c r="AV27" s="1315">
        <f t="shared" si="23"/>
        <v>91.3</v>
      </c>
      <c r="AW27" s="1311">
        <v>33007</v>
      </c>
      <c r="AX27" s="1315">
        <f t="shared" si="13"/>
        <v>90.9</v>
      </c>
      <c r="AY27" s="1311">
        <v>33043</v>
      </c>
      <c r="AZ27" s="1317">
        <f t="shared" si="14"/>
        <v>91</v>
      </c>
      <c r="BA27" s="1323">
        <v>39499</v>
      </c>
      <c r="BB27" s="1311">
        <v>35542</v>
      </c>
      <c r="BC27" s="1324">
        <f t="shared" si="15"/>
        <v>90</v>
      </c>
      <c r="BD27" s="1311">
        <v>35587</v>
      </c>
      <c r="BE27" s="1324">
        <f t="shared" si="16"/>
        <v>90.1</v>
      </c>
      <c r="BF27" s="1311">
        <v>35597</v>
      </c>
      <c r="BG27" s="1325">
        <f t="shared" si="17"/>
        <v>90.1</v>
      </c>
      <c r="BH27" s="1326">
        <v>19053</v>
      </c>
      <c r="BI27" s="1311">
        <v>73927</v>
      </c>
      <c r="BJ27" s="1327">
        <v>17094</v>
      </c>
      <c r="BK27" s="1326">
        <v>25864</v>
      </c>
      <c r="BL27" s="1328">
        <f t="shared" si="19"/>
        <v>73.099999999999994</v>
      </c>
      <c r="BM27" s="1326">
        <v>4325</v>
      </c>
      <c r="BN27" s="1311">
        <v>1496</v>
      </c>
      <c r="BO27" s="1636">
        <v>99</v>
      </c>
      <c r="BP27" s="1309" t="s">
        <v>345</v>
      </c>
    </row>
    <row r="28" spans="1:68" s="1309" customFormat="1" ht="17.100000000000001" customHeight="1" x14ac:dyDescent="0.25">
      <c r="A28" s="1411">
        <v>94</v>
      </c>
      <c r="B28" s="1329" t="s">
        <v>65</v>
      </c>
      <c r="C28" s="1313">
        <v>833</v>
      </c>
      <c r="D28" s="1314">
        <v>1097</v>
      </c>
      <c r="E28" s="1315">
        <f t="shared" si="0"/>
        <v>131.69999999999999</v>
      </c>
      <c r="F28" s="1316">
        <v>884</v>
      </c>
      <c r="G28" s="1317">
        <f t="shared" si="0"/>
        <v>106.1</v>
      </c>
      <c r="H28" s="1318">
        <v>0</v>
      </c>
      <c r="I28" s="1319">
        <f t="shared" si="0"/>
        <v>0</v>
      </c>
      <c r="J28" s="1320">
        <v>884</v>
      </c>
      <c r="K28" s="1315">
        <f t="shared" si="1"/>
        <v>106.1</v>
      </c>
      <c r="L28" s="1311">
        <v>999</v>
      </c>
      <c r="M28" s="1315">
        <f t="shared" si="2"/>
        <v>119.9</v>
      </c>
      <c r="N28" s="1311">
        <v>774</v>
      </c>
      <c r="O28" s="1315">
        <f t="shared" si="2"/>
        <v>92.9</v>
      </c>
      <c r="P28" s="1311">
        <v>1001</v>
      </c>
      <c r="Q28" s="1315">
        <f t="shared" si="3"/>
        <v>120.2</v>
      </c>
      <c r="R28" s="1311">
        <v>925</v>
      </c>
      <c r="S28" s="1315">
        <f t="shared" si="4"/>
        <v>111</v>
      </c>
      <c r="T28" s="1311">
        <v>777</v>
      </c>
      <c r="U28" s="1315">
        <f t="shared" si="5"/>
        <v>93.3</v>
      </c>
      <c r="V28" s="1311">
        <v>797</v>
      </c>
      <c r="W28" s="1315">
        <f t="shared" si="6"/>
        <v>95.7</v>
      </c>
      <c r="X28" s="1311">
        <v>764</v>
      </c>
      <c r="Y28" s="1315">
        <f t="shared" si="7"/>
        <v>91.7</v>
      </c>
      <c r="Z28" s="1316">
        <v>707</v>
      </c>
      <c r="AA28" s="1315">
        <f t="shared" si="20"/>
        <v>113.2</v>
      </c>
      <c r="AB28" s="1310">
        <v>418</v>
      </c>
      <c r="AC28" s="1315">
        <f t="shared" si="21"/>
        <v>66.900000000000006</v>
      </c>
      <c r="AD28" s="1311">
        <v>1016</v>
      </c>
      <c r="AE28" s="1315">
        <f t="shared" si="8"/>
        <v>122</v>
      </c>
      <c r="AF28" s="1311">
        <v>922</v>
      </c>
      <c r="AG28" s="1317">
        <f t="shared" si="9"/>
        <v>110.7</v>
      </c>
      <c r="AH28" s="1321">
        <v>880</v>
      </c>
      <c r="AI28" s="1314">
        <v>879</v>
      </c>
      <c r="AJ28" s="1315">
        <f t="shared" si="10"/>
        <v>99.9</v>
      </c>
      <c r="AK28" s="1316">
        <v>866</v>
      </c>
      <c r="AL28" s="1315">
        <f t="shared" si="22"/>
        <v>98.4</v>
      </c>
      <c r="AM28" s="1200">
        <v>950</v>
      </c>
      <c r="AN28" s="1315">
        <f t="shared" si="11"/>
        <v>108</v>
      </c>
      <c r="AO28" s="1311">
        <v>814</v>
      </c>
      <c r="AP28" s="1315">
        <f t="shared" si="12"/>
        <v>92.5</v>
      </c>
      <c r="AQ28" s="1322">
        <v>37</v>
      </c>
      <c r="AR28" s="1315">
        <f t="shared" si="18"/>
        <v>4.2045454545454541</v>
      </c>
      <c r="AS28" s="1322">
        <v>56</v>
      </c>
      <c r="AT28" s="1322">
        <v>64</v>
      </c>
      <c r="AU28" s="1311">
        <v>881</v>
      </c>
      <c r="AV28" s="1315">
        <f t="shared" si="23"/>
        <v>100.1</v>
      </c>
      <c r="AW28" s="1311">
        <v>546</v>
      </c>
      <c r="AX28" s="1315">
        <f t="shared" si="13"/>
        <v>62</v>
      </c>
      <c r="AY28" s="1311">
        <v>545</v>
      </c>
      <c r="AZ28" s="1317">
        <f t="shared" si="14"/>
        <v>61.9</v>
      </c>
      <c r="BA28" s="1323">
        <v>931</v>
      </c>
      <c r="BB28" s="1311">
        <v>759</v>
      </c>
      <c r="BC28" s="1324">
        <f t="shared" si="15"/>
        <v>81.5</v>
      </c>
      <c r="BD28" s="1311">
        <v>759</v>
      </c>
      <c r="BE28" s="1324">
        <f t="shared" si="16"/>
        <v>81.5</v>
      </c>
      <c r="BF28" s="1311">
        <v>758</v>
      </c>
      <c r="BG28" s="1325">
        <f t="shared" si="17"/>
        <v>81.400000000000006</v>
      </c>
      <c r="BH28" s="1326">
        <v>594</v>
      </c>
      <c r="BI28" s="1311">
        <v>1448</v>
      </c>
      <c r="BJ28" s="1327">
        <v>443</v>
      </c>
      <c r="BK28" s="1326">
        <v>588</v>
      </c>
      <c r="BL28" s="1328">
        <f t="shared" si="19"/>
        <v>70.599999999999994</v>
      </c>
      <c r="BM28" s="1326">
        <v>369</v>
      </c>
      <c r="BN28" s="1311">
        <v>175</v>
      </c>
      <c r="BO28" s="1636">
        <v>11</v>
      </c>
      <c r="BP28" s="1309" t="s">
        <v>344</v>
      </c>
    </row>
    <row r="29" spans="1:68" s="1309" customFormat="1" ht="17.100000000000001" customHeight="1" x14ac:dyDescent="0.25">
      <c r="A29" s="1411">
        <v>95</v>
      </c>
      <c r="B29" s="1312" t="s">
        <v>26</v>
      </c>
      <c r="C29" s="1313">
        <v>1367</v>
      </c>
      <c r="D29" s="1314">
        <v>1328</v>
      </c>
      <c r="E29" s="1315">
        <f t="shared" si="0"/>
        <v>97.1</v>
      </c>
      <c r="F29" s="1316">
        <v>1231</v>
      </c>
      <c r="G29" s="1317">
        <f t="shared" si="0"/>
        <v>90.1</v>
      </c>
      <c r="H29" s="1318">
        <v>59</v>
      </c>
      <c r="I29" s="1319">
        <f t="shared" si="0"/>
        <v>4.3</v>
      </c>
      <c r="J29" s="1320">
        <v>1290</v>
      </c>
      <c r="K29" s="1315">
        <f t="shared" si="1"/>
        <v>94.4</v>
      </c>
      <c r="L29" s="1311">
        <v>1360</v>
      </c>
      <c r="M29" s="1315">
        <f t="shared" si="2"/>
        <v>99.5</v>
      </c>
      <c r="N29" s="1311">
        <v>1277</v>
      </c>
      <c r="O29" s="1315">
        <f t="shared" si="2"/>
        <v>93.4</v>
      </c>
      <c r="P29" s="1311">
        <v>1361</v>
      </c>
      <c r="Q29" s="1315">
        <f t="shared" si="3"/>
        <v>99.6</v>
      </c>
      <c r="R29" s="1311">
        <v>1317</v>
      </c>
      <c r="S29" s="1315">
        <f t="shared" si="4"/>
        <v>96.3</v>
      </c>
      <c r="T29" s="1311">
        <v>1278</v>
      </c>
      <c r="U29" s="1315">
        <f t="shared" si="5"/>
        <v>93.5</v>
      </c>
      <c r="V29" s="1311">
        <v>1303</v>
      </c>
      <c r="W29" s="1315">
        <f t="shared" si="6"/>
        <v>95.3</v>
      </c>
      <c r="X29" s="1311">
        <v>1285</v>
      </c>
      <c r="Y29" s="1315">
        <f t="shared" si="7"/>
        <v>94</v>
      </c>
      <c r="Z29" s="1316">
        <v>993</v>
      </c>
      <c r="AA29" s="1315">
        <f t="shared" si="20"/>
        <v>96.9</v>
      </c>
      <c r="AB29" s="1310">
        <v>622</v>
      </c>
      <c r="AC29" s="1315">
        <f t="shared" si="21"/>
        <v>60.7</v>
      </c>
      <c r="AD29" s="1311">
        <v>1374</v>
      </c>
      <c r="AE29" s="1315">
        <f t="shared" si="8"/>
        <v>100.5</v>
      </c>
      <c r="AF29" s="1311">
        <v>1276</v>
      </c>
      <c r="AG29" s="1317">
        <f t="shared" si="9"/>
        <v>93.3</v>
      </c>
      <c r="AH29" s="1321">
        <v>1377</v>
      </c>
      <c r="AI29" s="1314">
        <v>1302</v>
      </c>
      <c r="AJ29" s="1315">
        <f t="shared" si="10"/>
        <v>94.6</v>
      </c>
      <c r="AK29" s="1316">
        <v>1285</v>
      </c>
      <c r="AL29" s="1315">
        <f t="shared" si="22"/>
        <v>93.3</v>
      </c>
      <c r="AM29" s="1200">
        <v>1376</v>
      </c>
      <c r="AN29" s="1315">
        <f t="shared" si="11"/>
        <v>99.9</v>
      </c>
      <c r="AO29" s="1311">
        <v>1262</v>
      </c>
      <c r="AP29" s="1315">
        <f t="shared" si="12"/>
        <v>91.6</v>
      </c>
      <c r="AQ29" s="1322">
        <v>1</v>
      </c>
      <c r="AR29" s="1315">
        <f t="shared" si="18"/>
        <v>7.2621641249092234E-2</v>
      </c>
      <c r="AS29" s="1322">
        <v>13</v>
      </c>
      <c r="AT29" s="1322">
        <v>4</v>
      </c>
      <c r="AU29" s="1311">
        <v>1306</v>
      </c>
      <c r="AV29" s="1315">
        <f t="shared" si="23"/>
        <v>94.8</v>
      </c>
      <c r="AW29" s="1311">
        <v>1153</v>
      </c>
      <c r="AX29" s="1315">
        <f t="shared" si="13"/>
        <v>83.7</v>
      </c>
      <c r="AY29" s="1311">
        <v>1153</v>
      </c>
      <c r="AZ29" s="1317">
        <f t="shared" si="14"/>
        <v>83.7</v>
      </c>
      <c r="BA29" s="1323">
        <v>1667</v>
      </c>
      <c r="BB29" s="1311">
        <v>1366</v>
      </c>
      <c r="BC29" s="1324">
        <f t="shared" si="15"/>
        <v>81.900000000000006</v>
      </c>
      <c r="BD29" s="1311">
        <v>1367</v>
      </c>
      <c r="BE29" s="1324">
        <f t="shared" si="16"/>
        <v>82</v>
      </c>
      <c r="BF29" s="1311">
        <v>1377</v>
      </c>
      <c r="BG29" s="1325">
        <f t="shared" si="17"/>
        <v>82.6</v>
      </c>
      <c r="BH29" s="1326">
        <v>583</v>
      </c>
      <c r="BI29" s="1311">
        <v>1340</v>
      </c>
      <c r="BJ29" s="1327">
        <v>786</v>
      </c>
      <c r="BK29" s="1326">
        <v>1057</v>
      </c>
      <c r="BL29" s="1328">
        <f t="shared" si="19"/>
        <v>77.3</v>
      </c>
      <c r="BM29" s="1326">
        <v>853</v>
      </c>
      <c r="BN29" s="1311">
        <v>81</v>
      </c>
      <c r="BO29" s="1636">
        <v>7</v>
      </c>
      <c r="BP29" s="1309" t="s">
        <v>344</v>
      </c>
    </row>
    <row r="30" spans="1:68" s="1309" customFormat="1" ht="17.100000000000001" customHeight="1" x14ac:dyDescent="0.25">
      <c r="A30" s="1411">
        <v>41</v>
      </c>
      <c r="B30" s="1312" t="s">
        <v>27</v>
      </c>
      <c r="C30" s="1313">
        <v>20242</v>
      </c>
      <c r="D30" s="1314">
        <v>20245</v>
      </c>
      <c r="E30" s="1315">
        <f t="shared" si="0"/>
        <v>100</v>
      </c>
      <c r="F30" s="1316">
        <v>18635</v>
      </c>
      <c r="G30" s="1317">
        <f t="shared" si="0"/>
        <v>92.1</v>
      </c>
      <c r="H30" s="1318">
        <v>1562</v>
      </c>
      <c r="I30" s="1319">
        <f t="shared" si="0"/>
        <v>7.7</v>
      </c>
      <c r="J30" s="1320">
        <v>20197</v>
      </c>
      <c r="K30" s="1315">
        <f t="shared" si="1"/>
        <v>99.8</v>
      </c>
      <c r="L30" s="1311">
        <v>19347</v>
      </c>
      <c r="M30" s="1315">
        <f t="shared" si="2"/>
        <v>95.6</v>
      </c>
      <c r="N30" s="1311">
        <v>18920</v>
      </c>
      <c r="O30" s="1315">
        <f t="shared" si="2"/>
        <v>93.5</v>
      </c>
      <c r="P30" s="1311">
        <v>19326</v>
      </c>
      <c r="Q30" s="1315">
        <f t="shared" si="3"/>
        <v>95.5</v>
      </c>
      <c r="R30" s="1311">
        <v>19042</v>
      </c>
      <c r="S30" s="1315">
        <f t="shared" si="4"/>
        <v>94.1</v>
      </c>
      <c r="T30" s="1311">
        <v>18921</v>
      </c>
      <c r="U30" s="1315">
        <f t="shared" si="5"/>
        <v>93.5</v>
      </c>
      <c r="V30" s="1311">
        <v>19123</v>
      </c>
      <c r="W30" s="1315">
        <f t="shared" si="6"/>
        <v>94.5</v>
      </c>
      <c r="X30" s="1311">
        <v>18882</v>
      </c>
      <c r="Y30" s="1315">
        <f t="shared" si="7"/>
        <v>93.3</v>
      </c>
      <c r="Z30" s="1316">
        <v>15907</v>
      </c>
      <c r="AA30" s="1315">
        <f t="shared" si="20"/>
        <v>104.8</v>
      </c>
      <c r="AB30" s="1310">
        <v>12470</v>
      </c>
      <c r="AC30" s="1315">
        <f t="shared" si="21"/>
        <v>82.1</v>
      </c>
      <c r="AD30" s="1311">
        <v>19363</v>
      </c>
      <c r="AE30" s="1315">
        <f t="shared" si="8"/>
        <v>95.7</v>
      </c>
      <c r="AF30" s="1311">
        <v>19083</v>
      </c>
      <c r="AG30" s="1317">
        <f t="shared" si="9"/>
        <v>94.3</v>
      </c>
      <c r="AH30" s="1321">
        <v>20627</v>
      </c>
      <c r="AI30" s="1314">
        <v>19269</v>
      </c>
      <c r="AJ30" s="1315">
        <f t="shared" si="10"/>
        <v>93.4</v>
      </c>
      <c r="AK30" s="1316">
        <v>19073</v>
      </c>
      <c r="AL30" s="1315">
        <f t="shared" si="22"/>
        <v>92.5</v>
      </c>
      <c r="AM30" s="1200">
        <v>18120</v>
      </c>
      <c r="AN30" s="1315">
        <f t="shared" si="11"/>
        <v>87.8</v>
      </c>
      <c r="AO30" s="1311">
        <v>19211</v>
      </c>
      <c r="AP30" s="1315">
        <f t="shared" si="12"/>
        <v>93.1</v>
      </c>
      <c r="AQ30" s="1322">
        <v>43</v>
      </c>
      <c r="AR30" s="1315">
        <f t="shared" si="18"/>
        <v>0.20846463373248655</v>
      </c>
      <c r="AS30" s="1322">
        <v>102</v>
      </c>
      <c r="AT30" s="1322">
        <v>66</v>
      </c>
      <c r="AU30" s="1311">
        <v>18954</v>
      </c>
      <c r="AV30" s="1315">
        <f t="shared" si="23"/>
        <v>91.9</v>
      </c>
      <c r="AW30" s="1311">
        <v>18277</v>
      </c>
      <c r="AX30" s="1315">
        <f t="shared" si="13"/>
        <v>88.6</v>
      </c>
      <c r="AY30" s="1311">
        <v>18287</v>
      </c>
      <c r="AZ30" s="1317">
        <f t="shared" si="14"/>
        <v>88.7</v>
      </c>
      <c r="BA30" s="1323">
        <v>20535</v>
      </c>
      <c r="BB30" s="1311">
        <v>19849</v>
      </c>
      <c r="BC30" s="1324">
        <f t="shared" si="15"/>
        <v>96.7</v>
      </c>
      <c r="BD30" s="1311">
        <v>19848</v>
      </c>
      <c r="BE30" s="1324">
        <f t="shared" si="16"/>
        <v>96.7</v>
      </c>
      <c r="BF30" s="1311">
        <v>19887</v>
      </c>
      <c r="BG30" s="1325">
        <f t="shared" si="17"/>
        <v>96.8</v>
      </c>
      <c r="BH30" s="1326">
        <v>7967</v>
      </c>
      <c r="BI30" s="1311">
        <v>29457</v>
      </c>
      <c r="BJ30" s="1327">
        <v>13695</v>
      </c>
      <c r="BK30" s="1326">
        <v>17316</v>
      </c>
      <c r="BL30" s="1328">
        <f t="shared" si="19"/>
        <v>85.5</v>
      </c>
      <c r="BM30" s="1326">
        <v>3636</v>
      </c>
      <c r="BN30" s="1311">
        <v>1775</v>
      </c>
      <c r="BO30" s="1636">
        <v>54</v>
      </c>
      <c r="BP30" s="1309" t="s">
        <v>345</v>
      </c>
    </row>
    <row r="31" spans="1:68" s="1309" customFormat="1" ht="17.100000000000001" customHeight="1" x14ac:dyDescent="0.25">
      <c r="A31" s="1411">
        <v>44</v>
      </c>
      <c r="B31" s="1312" t="s">
        <v>124</v>
      </c>
      <c r="C31" s="1313">
        <v>20995</v>
      </c>
      <c r="D31" s="1314">
        <v>19777</v>
      </c>
      <c r="E31" s="1315">
        <f t="shared" si="0"/>
        <v>94.2</v>
      </c>
      <c r="F31" s="1316">
        <v>16116</v>
      </c>
      <c r="G31" s="1317">
        <f t="shared" si="0"/>
        <v>76.8</v>
      </c>
      <c r="H31" s="1318">
        <v>2100</v>
      </c>
      <c r="I31" s="1319">
        <f t="shared" si="0"/>
        <v>10</v>
      </c>
      <c r="J31" s="1320">
        <v>18216</v>
      </c>
      <c r="K31" s="1315">
        <f t="shared" si="1"/>
        <v>86.8</v>
      </c>
      <c r="L31" s="1311">
        <v>20068</v>
      </c>
      <c r="M31" s="1315">
        <f t="shared" si="2"/>
        <v>95.6</v>
      </c>
      <c r="N31" s="1311">
        <v>18001</v>
      </c>
      <c r="O31" s="1315">
        <f t="shared" si="2"/>
        <v>85.7</v>
      </c>
      <c r="P31" s="1311">
        <v>20099</v>
      </c>
      <c r="Q31" s="1315">
        <f t="shared" si="3"/>
        <v>95.7</v>
      </c>
      <c r="R31" s="1311">
        <v>18602</v>
      </c>
      <c r="S31" s="1315">
        <f t="shared" si="4"/>
        <v>88.6</v>
      </c>
      <c r="T31" s="1311">
        <v>18098</v>
      </c>
      <c r="U31" s="1315">
        <f t="shared" si="5"/>
        <v>86.2</v>
      </c>
      <c r="V31" s="1311">
        <v>17400</v>
      </c>
      <c r="W31" s="1315">
        <f t="shared" si="6"/>
        <v>82.9</v>
      </c>
      <c r="X31" s="1311">
        <v>16676</v>
      </c>
      <c r="Y31" s="1315">
        <f t="shared" si="7"/>
        <v>79.400000000000006</v>
      </c>
      <c r="Z31" s="1316">
        <v>15835</v>
      </c>
      <c r="AA31" s="1315">
        <f t="shared" si="20"/>
        <v>100.6</v>
      </c>
      <c r="AB31" s="1310">
        <v>9138</v>
      </c>
      <c r="AC31" s="1315">
        <f t="shared" si="21"/>
        <v>58</v>
      </c>
      <c r="AD31" s="1311">
        <v>19541</v>
      </c>
      <c r="AE31" s="1315">
        <f t="shared" si="8"/>
        <v>93.1</v>
      </c>
      <c r="AF31" s="1311">
        <v>17803</v>
      </c>
      <c r="AG31" s="1317">
        <f t="shared" si="9"/>
        <v>84.8</v>
      </c>
      <c r="AH31" s="1321">
        <v>21390</v>
      </c>
      <c r="AI31" s="1314">
        <v>19502</v>
      </c>
      <c r="AJ31" s="1315">
        <f t="shared" si="10"/>
        <v>91.2</v>
      </c>
      <c r="AK31" s="1316">
        <v>19217</v>
      </c>
      <c r="AL31" s="1315">
        <f t="shared" si="22"/>
        <v>89.8</v>
      </c>
      <c r="AM31" s="1200">
        <v>13640</v>
      </c>
      <c r="AN31" s="1315">
        <f t="shared" si="11"/>
        <v>63.8</v>
      </c>
      <c r="AO31" s="1311">
        <v>18039</v>
      </c>
      <c r="AP31" s="1315">
        <f t="shared" si="12"/>
        <v>84.3</v>
      </c>
      <c r="AQ31" s="1322">
        <v>823</v>
      </c>
      <c r="AR31" s="1315">
        <f t="shared" si="18"/>
        <v>3.8475923328658248</v>
      </c>
      <c r="AS31" s="1322">
        <v>939</v>
      </c>
      <c r="AT31" s="1322">
        <v>1793</v>
      </c>
      <c r="AU31" s="1311">
        <v>19169</v>
      </c>
      <c r="AV31" s="1315">
        <f t="shared" si="23"/>
        <v>89.6</v>
      </c>
      <c r="AW31" s="1311">
        <v>13422</v>
      </c>
      <c r="AX31" s="1315">
        <f t="shared" si="13"/>
        <v>62.7</v>
      </c>
      <c r="AY31" s="1311">
        <v>13414</v>
      </c>
      <c r="AZ31" s="1317">
        <f t="shared" si="14"/>
        <v>62.7</v>
      </c>
      <c r="BA31" s="1323">
        <v>20940</v>
      </c>
      <c r="BB31" s="1311">
        <v>17111</v>
      </c>
      <c r="BC31" s="1324">
        <f t="shared" si="15"/>
        <v>81.7</v>
      </c>
      <c r="BD31" s="1311">
        <v>17253</v>
      </c>
      <c r="BE31" s="1324">
        <f t="shared" si="16"/>
        <v>82.4</v>
      </c>
      <c r="BF31" s="1311">
        <v>17229</v>
      </c>
      <c r="BG31" s="1325">
        <f t="shared" si="17"/>
        <v>82.3</v>
      </c>
      <c r="BH31" s="1326">
        <v>2882</v>
      </c>
      <c r="BI31" s="1311">
        <v>8095</v>
      </c>
      <c r="BJ31" s="1327">
        <v>10995</v>
      </c>
      <c r="BK31" s="1326">
        <v>13957</v>
      </c>
      <c r="BL31" s="1328">
        <f t="shared" si="19"/>
        <v>66.5</v>
      </c>
      <c r="BM31" s="1326">
        <v>5195</v>
      </c>
      <c r="BN31" s="1311">
        <v>1706</v>
      </c>
      <c r="BO31" s="1636">
        <v>89</v>
      </c>
      <c r="BP31" s="1309" t="s">
        <v>347</v>
      </c>
    </row>
    <row r="32" spans="1:68" s="1309" customFormat="1" ht="17.100000000000001" customHeight="1" x14ac:dyDescent="0.25">
      <c r="A32" s="1411">
        <v>47</v>
      </c>
      <c r="B32" s="1312" t="s">
        <v>28</v>
      </c>
      <c r="C32" s="1313">
        <v>17466</v>
      </c>
      <c r="D32" s="1314">
        <v>14158</v>
      </c>
      <c r="E32" s="1315">
        <f t="shared" si="0"/>
        <v>81.099999999999994</v>
      </c>
      <c r="F32" s="1316">
        <v>13680</v>
      </c>
      <c r="G32" s="1317">
        <f t="shared" si="0"/>
        <v>78.3</v>
      </c>
      <c r="H32" s="1318">
        <v>120</v>
      </c>
      <c r="I32" s="1319">
        <f t="shared" si="0"/>
        <v>0.7</v>
      </c>
      <c r="J32" s="1320">
        <v>13800</v>
      </c>
      <c r="K32" s="1315">
        <f t="shared" si="1"/>
        <v>79</v>
      </c>
      <c r="L32" s="1311">
        <v>16708</v>
      </c>
      <c r="M32" s="1315">
        <f t="shared" si="2"/>
        <v>95.7</v>
      </c>
      <c r="N32" s="1311">
        <v>15906</v>
      </c>
      <c r="O32" s="1315">
        <f t="shared" si="2"/>
        <v>91.1</v>
      </c>
      <c r="P32" s="1311">
        <v>16706</v>
      </c>
      <c r="Q32" s="1315">
        <f t="shared" si="3"/>
        <v>95.6</v>
      </c>
      <c r="R32" s="1311">
        <v>16296</v>
      </c>
      <c r="S32" s="1315">
        <f t="shared" si="4"/>
        <v>93.3</v>
      </c>
      <c r="T32" s="1311">
        <v>15905</v>
      </c>
      <c r="U32" s="1315">
        <f t="shared" si="5"/>
        <v>91.1</v>
      </c>
      <c r="V32" s="1311">
        <v>16324</v>
      </c>
      <c r="W32" s="1315">
        <f t="shared" si="6"/>
        <v>93.5</v>
      </c>
      <c r="X32" s="1311">
        <v>16007</v>
      </c>
      <c r="Y32" s="1315">
        <f t="shared" si="7"/>
        <v>91.6</v>
      </c>
      <c r="Z32" s="1316">
        <v>12055</v>
      </c>
      <c r="AA32" s="1315">
        <f t="shared" si="20"/>
        <v>92</v>
      </c>
      <c r="AB32" s="1310">
        <v>8448</v>
      </c>
      <c r="AC32" s="1315">
        <f t="shared" si="21"/>
        <v>64.5</v>
      </c>
      <c r="AD32" s="1311">
        <v>16676</v>
      </c>
      <c r="AE32" s="1315">
        <f t="shared" si="8"/>
        <v>95.5</v>
      </c>
      <c r="AF32" s="1311">
        <v>16279</v>
      </c>
      <c r="AG32" s="1317">
        <f t="shared" si="9"/>
        <v>93.2</v>
      </c>
      <c r="AH32" s="1321">
        <v>17924</v>
      </c>
      <c r="AI32" s="1314">
        <v>16502</v>
      </c>
      <c r="AJ32" s="1315">
        <f t="shared" si="10"/>
        <v>92.1</v>
      </c>
      <c r="AK32" s="1316">
        <v>16419</v>
      </c>
      <c r="AL32" s="1315">
        <f t="shared" si="22"/>
        <v>91.6</v>
      </c>
      <c r="AM32" s="1200">
        <v>15969</v>
      </c>
      <c r="AN32" s="1315">
        <f t="shared" si="11"/>
        <v>89.1</v>
      </c>
      <c r="AO32" s="1311">
        <v>16343</v>
      </c>
      <c r="AP32" s="1315">
        <f t="shared" si="12"/>
        <v>91.2</v>
      </c>
      <c r="AQ32" s="1322">
        <v>142</v>
      </c>
      <c r="AR32" s="1315">
        <f t="shared" si="18"/>
        <v>0.79223387636688236</v>
      </c>
      <c r="AS32" s="1322">
        <v>188</v>
      </c>
      <c r="AT32" s="1322">
        <v>235</v>
      </c>
      <c r="AU32" s="1311">
        <v>16481</v>
      </c>
      <c r="AV32" s="1315">
        <f t="shared" si="23"/>
        <v>91.9</v>
      </c>
      <c r="AW32" s="1311">
        <v>15821</v>
      </c>
      <c r="AX32" s="1315">
        <f t="shared" si="13"/>
        <v>88.3</v>
      </c>
      <c r="AY32" s="1311">
        <v>15820</v>
      </c>
      <c r="AZ32" s="1317">
        <f t="shared" si="14"/>
        <v>88.3</v>
      </c>
      <c r="BA32" s="1323">
        <v>18494</v>
      </c>
      <c r="BB32" s="1311">
        <v>16777</v>
      </c>
      <c r="BC32" s="1324">
        <f t="shared" si="15"/>
        <v>90.7</v>
      </c>
      <c r="BD32" s="1311">
        <v>16762</v>
      </c>
      <c r="BE32" s="1324">
        <f t="shared" si="16"/>
        <v>90.6</v>
      </c>
      <c r="BF32" s="1311">
        <v>16813</v>
      </c>
      <c r="BG32" s="1325">
        <f t="shared" si="17"/>
        <v>90.9</v>
      </c>
      <c r="BH32" s="1326">
        <v>2500</v>
      </c>
      <c r="BI32" s="1311">
        <v>11159</v>
      </c>
      <c r="BJ32" s="1327">
        <v>9739</v>
      </c>
      <c r="BK32" s="1326">
        <v>13045</v>
      </c>
      <c r="BL32" s="1328">
        <f t="shared" si="19"/>
        <v>74.7</v>
      </c>
      <c r="BM32" s="1326">
        <v>1743</v>
      </c>
      <c r="BN32" s="1311">
        <v>721</v>
      </c>
      <c r="BO32" s="1636">
        <v>19</v>
      </c>
      <c r="BP32" s="1309" t="s">
        <v>347</v>
      </c>
    </row>
    <row r="33" spans="1:68" s="1309" customFormat="1" ht="17.100000000000001" customHeight="1" x14ac:dyDescent="0.25">
      <c r="A33" s="1411">
        <v>47001</v>
      </c>
      <c r="B33" s="1330" t="s">
        <v>127</v>
      </c>
      <c r="C33" s="1313">
        <v>8983</v>
      </c>
      <c r="D33" s="1314">
        <v>9188</v>
      </c>
      <c r="E33" s="1315">
        <f t="shared" si="0"/>
        <v>102.3</v>
      </c>
      <c r="F33" s="1316">
        <v>8857</v>
      </c>
      <c r="G33" s="1317">
        <f t="shared" si="0"/>
        <v>98.6</v>
      </c>
      <c r="H33" s="1318">
        <v>0</v>
      </c>
      <c r="I33" s="1319">
        <f t="shared" si="0"/>
        <v>0</v>
      </c>
      <c r="J33" s="1320">
        <v>9080</v>
      </c>
      <c r="K33" s="1315">
        <f t="shared" si="1"/>
        <v>101.1</v>
      </c>
      <c r="L33" s="1311">
        <v>8439</v>
      </c>
      <c r="M33" s="1315">
        <f t="shared" si="2"/>
        <v>93.9</v>
      </c>
      <c r="N33" s="1311">
        <v>7665</v>
      </c>
      <c r="O33" s="1315">
        <f t="shared" si="2"/>
        <v>85.3</v>
      </c>
      <c r="P33" s="1311">
        <v>8392</v>
      </c>
      <c r="Q33" s="1315">
        <f t="shared" si="3"/>
        <v>93.4</v>
      </c>
      <c r="R33" s="1311">
        <v>8114</v>
      </c>
      <c r="S33" s="1315">
        <f t="shared" si="4"/>
        <v>90.3</v>
      </c>
      <c r="T33" s="1311">
        <v>7574</v>
      </c>
      <c r="U33" s="1315">
        <f t="shared" si="5"/>
        <v>84.3</v>
      </c>
      <c r="V33" s="1311">
        <v>7837</v>
      </c>
      <c r="W33" s="1315">
        <f t="shared" si="6"/>
        <v>87.2</v>
      </c>
      <c r="X33" s="1311">
        <v>7638</v>
      </c>
      <c r="Y33" s="1315">
        <f t="shared" si="7"/>
        <v>85</v>
      </c>
      <c r="Z33" s="1316">
        <v>6235</v>
      </c>
      <c r="AA33" s="1315">
        <f t="shared" si="20"/>
        <v>92.5</v>
      </c>
      <c r="AB33" s="1310">
        <v>4125</v>
      </c>
      <c r="AC33" s="1315">
        <f t="shared" si="21"/>
        <v>61.2</v>
      </c>
      <c r="AD33" s="1311">
        <v>8376</v>
      </c>
      <c r="AE33" s="1315">
        <f t="shared" si="8"/>
        <v>93.2</v>
      </c>
      <c r="AF33" s="1311">
        <v>7969</v>
      </c>
      <c r="AG33" s="1317">
        <f t="shared" si="9"/>
        <v>88.7</v>
      </c>
      <c r="AH33" s="1321">
        <v>9053</v>
      </c>
      <c r="AI33" s="1314">
        <v>8169</v>
      </c>
      <c r="AJ33" s="1315">
        <f t="shared" si="10"/>
        <v>90.2</v>
      </c>
      <c r="AK33" s="1316">
        <v>7530</v>
      </c>
      <c r="AL33" s="1315">
        <f t="shared" si="22"/>
        <v>83.2</v>
      </c>
      <c r="AM33" s="1200">
        <v>6862</v>
      </c>
      <c r="AN33" s="1315">
        <f t="shared" si="11"/>
        <v>75.8</v>
      </c>
      <c r="AO33" s="1311">
        <v>7927</v>
      </c>
      <c r="AP33" s="1315">
        <f t="shared" si="12"/>
        <v>87.6</v>
      </c>
      <c r="AQ33" s="1322">
        <v>88</v>
      </c>
      <c r="AR33" s="1315">
        <f t="shared" si="18"/>
        <v>0.97205346294046169</v>
      </c>
      <c r="AS33" s="1322">
        <v>206</v>
      </c>
      <c r="AT33" s="1322">
        <v>233</v>
      </c>
      <c r="AU33" s="1311">
        <v>7899</v>
      </c>
      <c r="AV33" s="1315">
        <f t="shared" si="23"/>
        <v>87.3</v>
      </c>
      <c r="AW33" s="1311">
        <v>7173</v>
      </c>
      <c r="AX33" s="1315">
        <f t="shared" si="13"/>
        <v>79.2</v>
      </c>
      <c r="AY33" s="1311">
        <v>7272</v>
      </c>
      <c r="AZ33" s="1317">
        <f t="shared" si="14"/>
        <v>80.3</v>
      </c>
      <c r="BA33" s="1323">
        <v>9123</v>
      </c>
      <c r="BB33" s="1311">
        <v>7313</v>
      </c>
      <c r="BC33" s="1324">
        <f>ROUND(BB33/$BA33*100,1)</f>
        <v>80.2</v>
      </c>
      <c r="BD33" s="1311">
        <v>7385</v>
      </c>
      <c r="BE33" s="1324">
        <f>ROUND(BD33/$BA33*100,1)</f>
        <v>80.900000000000006</v>
      </c>
      <c r="BF33" s="1311">
        <v>7172</v>
      </c>
      <c r="BG33" s="1325">
        <f>ROUND(BF33/$BA33*100,1)</f>
        <v>78.599999999999994</v>
      </c>
      <c r="BH33" s="1326">
        <v>6546</v>
      </c>
      <c r="BI33" s="1311">
        <v>9248</v>
      </c>
      <c r="BJ33" s="1327">
        <v>5379</v>
      </c>
      <c r="BK33" s="1326">
        <v>6499</v>
      </c>
      <c r="BL33" s="1328">
        <f t="shared" si="19"/>
        <v>72.3</v>
      </c>
      <c r="BM33" s="1326">
        <v>1721</v>
      </c>
      <c r="BN33" s="1311">
        <v>496</v>
      </c>
      <c r="BO33" s="1636">
        <v>25</v>
      </c>
      <c r="BP33" s="1309" t="s">
        <v>347</v>
      </c>
    </row>
    <row r="34" spans="1:68" s="1309" customFormat="1" ht="17.100000000000001" customHeight="1" x14ac:dyDescent="0.25">
      <c r="A34" s="1411">
        <v>50</v>
      </c>
      <c r="B34" s="1329" t="s">
        <v>29</v>
      </c>
      <c r="C34" s="1313">
        <v>16563</v>
      </c>
      <c r="D34" s="1314">
        <v>15808</v>
      </c>
      <c r="E34" s="1315">
        <f t="shared" si="0"/>
        <v>95.4</v>
      </c>
      <c r="F34" s="1316">
        <v>15771</v>
      </c>
      <c r="G34" s="1317">
        <f t="shared" si="0"/>
        <v>95.2</v>
      </c>
      <c r="H34" s="1318">
        <v>98</v>
      </c>
      <c r="I34" s="1319">
        <f t="shared" si="0"/>
        <v>0.6</v>
      </c>
      <c r="J34" s="1320">
        <v>15869</v>
      </c>
      <c r="K34" s="1315">
        <f t="shared" si="1"/>
        <v>95.8</v>
      </c>
      <c r="L34" s="1311">
        <v>15088</v>
      </c>
      <c r="M34" s="1315">
        <f t="shared" si="2"/>
        <v>91.1</v>
      </c>
      <c r="N34" s="1311">
        <v>14676</v>
      </c>
      <c r="O34" s="1315">
        <f t="shared" si="2"/>
        <v>88.6</v>
      </c>
      <c r="P34" s="1311">
        <v>15082</v>
      </c>
      <c r="Q34" s="1315">
        <f t="shared" si="3"/>
        <v>91.1</v>
      </c>
      <c r="R34" s="1311">
        <v>15012</v>
      </c>
      <c r="S34" s="1315">
        <f t="shared" si="4"/>
        <v>90.6</v>
      </c>
      <c r="T34" s="1311">
        <v>14619</v>
      </c>
      <c r="U34" s="1315">
        <f t="shared" si="5"/>
        <v>88.3</v>
      </c>
      <c r="V34" s="1311">
        <v>14379</v>
      </c>
      <c r="W34" s="1315">
        <f t="shared" si="6"/>
        <v>86.8</v>
      </c>
      <c r="X34" s="1311">
        <v>14354</v>
      </c>
      <c r="Y34" s="1315">
        <f t="shared" si="7"/>
        <v>86.7</v>
      </c>
      <c r="Z34" s="1316">
        <v>10865</v>
      </c>
      <c r="AA34" s="1315">
        <f t="shared" si="20"/>
        <v>87.5</v>
      </c>
      <c r="AB34" s="1310">
        <v>8328</v>
      </c>
      <c r="AC34" s="1315">
        <f t="shared" si="21"/>
        <v>67</v>
      </c>
      <c r="AD34" s="1311">
        <v>14501</v>
      </c>
      <c r="AE34" s="1315">
        <f t="shared" si="8"/>
        <v>87.6</v>
      </c>
      <c r="AF34" s="1311">
        <v>14093</v>
      </c>
      <c r="AG34" s="1317">
        <f t="shared" si="9"/>
        <v>85.1</v>
      </c>
      <c r="AH34" s="1321">
        <v>16846</v>
      </c>
      <c r="AI34" s="1314">
        <v>15001</v>
      </c>
      <c r="AJ34" s="1315">
        <f t="shared" si="10"/>
        <v>89</v>
      </c>
      <c r="AK34" s="1316">
        <v>14996</v>
      </c>
      <c r="AL34" s="1315">
        <f t="shared" si="22"/>
        <v>89</v>
      </c>
      <c r="AM34" s="1200">
        <v>16260</v>
      </c>
      <c r="AN34" s="1315">
        <f t="shared" si="11"/>
        <v>96.5</v>
      </c>
      <c r="AO34" s="1311">
        <v>13539</v>
      </c>
      <c r="AP34" s="1315">
        <f t="shared" si="12"/>
        <v>80.400000000000006</v>
      </c>
      <c r="AQ34" s="1322">
        <v>78</v>
      </c>
      <c r="AR34" s="1315">
        <f t="shared" si="18"/>
        <v>0.46301792710435713</v>
      </c>
      <c r="AS34" s="1322">
        <v>231</v>
      </c>
      <c r="AT34" s="1322">
        <v>98</v>
      </c>
      <c r="AU34" s="1311">
        <v>14614</v>
      </c>
      <c r="AV34" s="1315">
        <f t="shared" si="23"/>
        <v>86.8</v>
      </c>
      <c r="AW34" s="1311">
        <v>14312</v>
      </c>
      <c r="AX34" s="1315">
        <f t="shared" si="13"/>
        <v>85</v>
      </c>
      <c r="AY34" s="1311">
        <v>14296</v>
      </c>
      <c r="AZ34" s="1317">
        <f t="shared" si="14"/>
        <v>84.9</v>
      </c>
      <c r="BA34" s="1323">
        <v>17237</v>
      </c>
      <c r="BB34" s="1311">
        <v>15070</v>
      </c>
      <c r="BC34" s="1324">
        <f t="shared" si="15"/>
        <v>87.4</v>
      </c>
      <c r="BD34" s="1311">
        <v>15115</v>
      </c>
      <c r="BE34" s="1324">
        <f t="shared" si="16"/>
        <v>87.7</v>
      </c>
      <c r="BF34" s="1311">
        <v>15024</v>
      </c>
      <c r="BG34" s="1325">
        <f t="shared" si="17"/>
        <v>87.2</v>
      </c>
      <c r="BH34" s="1326">
        <v>10093</v>
      </c>
      <c r="BI34" s="1311">
        <v>22002</v>
      </c>
      <c r="BJ34" s="1327">
        <v>8367</v>
      </c>
      <c r="BK34" s="1326">
        <v>12387</v>
      </c>
      <c r="BL34" s="1328">
        <f t="shared" si="19"/>
        <v>74.8</v>
      </c>
      <c r="BM34" s="1326">
        <v>2306</v>
      </c>
      <c r="BN34" s="1311">
        <v>838</v>
      </c>
      <c r="BO34" s="1636">
        <v>136</v>
      </c>
      <c r="BP34" s="1309" t="s">
        <v>346</v>
      </c>
    </row>
    <row r="35" spans="1:68" s="1309" customFormat="1" ht="17.100000000000001" customHeight="1" x14ac:dyDescent="0.25">
      <c r="A35" s="1411">
        <v>52</v>
      </c>
      <c r="B35" s="1312" t="s">
        <v>30</v>
      </c>
      <c r="C35" s="1313">
        <v>21185</v>
      </c>
      <c r="D35" s="1314">
        <v>19668</v>
      </c>
      <c r="E35" s="1315">
        <f t="shared" si="0"/>
        <v>92.8</v>
      </c>
      <c r="F35" s="1316">
        <v>18626</v>
      </c>
      <c r="G35" s="1317">
        <f t="shared" si="0"/>
        <v>87.9</v>
      </c>
      <c r="H35" s="1318">
        <v>664</v>
      </c>
      <c r="I35" s="1319">
        <f t="shared" si="0"/>
        <v>3.1</v>
      </c>
      <c r="J35" s="1320">
        <v>19290</v>
      </c>
      <c r="K35" s="1315">
        <f t="shared" si="1"/>
        <v>91.1</v>
      </c>
      <c r="L35" s="1311">
        <v>19338</v>
      </c>
      <c r="M35" s="1315">
        <f t="shared" si="2"/>
        <v>91.3</v>
      </c>
      <c r="N35" s="1311">
        <v>19500</v>
      </c>
      <c r="O35" s="1315">
        <f t="shared" si="2"/>
        <v>92</v>
      </c>
      <c r="P35" s="1311">
        <v>19382</v>
      </c>
      <c r="Q35" s="1315">
        <f t="shared" si="3"/>
        <v>91.5</v>
      </c>
      <c r="R35" s="1311">
        <v>19192</v>
      </c>
      <c r="S35" s="1315">
        <f t="shared" si="4"/>
        <v>90.6</v>
      </c>
      <c r="T35" s="1311">
        <v>19504</v>
      </c>
      <c r="U35" s="1315">
        <f t="shared" si="5"/>
        <v>92.1</v>
      </c>
      <c r="V35" s="1311">
        <v>18892</v>
      </c>
      <c r="W35" s="1315">
        <f t="shared" si="6"/>
        <v>89.2</v>
      </c>
      <c r="X35" s="1311">
        <v>18885</v>
      </c>
      <c r="Y35" s="1315">
        <f t="shared" si="7"/>
        <v>89.1</v>
      </c>
      <c r="Z35" s="1316">
        <v>16258</v>
      </c>
      <c r="AA35" s="1315">
        <f t="shared" si="20"/>
        <v>102.3</v>
      </c>
      <c r="AB35" s="1310">
        <v>12232</v>
      </c>
      <c r="AC35" s="1315">
        <f t="shared" si="21"/>
        <v>77</v>
      </c>
      <c r="AD35" s="1311">
        <v>19421</v>
      </c>
      <c r="AE35" s="1315">
        <f t="shared" si="8"/>
        <v>91.7</v>
      </c>
      <c r="AF35" s="1311">
        <v>19526</v>
      </c>
      <c r="AG35" s="1317">
        <f t="shared" si="9"/>
        <v>92.2</v>
      </c>
      <c r="AH35" s="1321">
        <v>21573</v>
      </c>
      <c r="AI35" s="1314">
        <v>19693</v>
      </c>
      <c r="AJ35" s="1315">
        <f t="shared" si="10"/>
        <v>91.3</v>
      </c>
      <c r="AK35" s="1316">
        <v>19685</v>
      </c>
      <c r="AL35" s="1315">
        <f t="shared" si="22"/>
        <v>91.2</v>
      </c>
      <c r="AM35" s="1200">
        <v>18253</v>
      </c>
      <c r="AN35" s="1315">
        <f t="shared" si="11"/>
        <v>84.6</v>
      </c>
      <c r="AO35" s="1311">
        <v>19724</v>
      </c>
      <c r="AP35" s="1315">
        <f t="shared" si="12"/>
        <v>91.4</v>
      </c>
      <c r="AQ35" s="1322">
        <v>69</v>
      </c>
      <c r="AR35" s="1315">
        <f t="shared" si="18"/>
        <v>0.31984424975664022</v>
      </c>
      <c r="AS35" s="1322">
        <v>144</v>
      </c>
      <c r="AT35" s="1322">
        <v>145</v>
      </c>
      <c r="AU35" s="1311">
        <v>19777</v>
      </c>
      <c r="AV35" s="1315">
        <f t="shared" si="23"/>
        <v>91.7</v>
      </c>
      <c r="AW35" s="1311">
        <v>18356</v>
      </c>
      <c r="AX35" s="1315">
        <f t="shared" si="13"/>
        <v>85.1</v>
      </c>
      <c r="AY35" s="1311">
        <v>18360</v>
      </c>
      <c r="AZ35" s="1317">
        <f t="shared" si="14"/>
        <v>85.1</v>
      </c>
      <c r="BA35" s="1323">
        <v>23071</v>
      </c>
      <c r="BB35" s="1311">
        <v>19576</v>
      </c>
      <c r="BC35" s="1324">
        <f t="shared" si="15"/>
        <v>84.9</v>
      </c>
      <c r="BD35" s="1311">
        <v>19569</v>
      </c>
      <c r="BE35" s="1324">
        <f t="shared" si="16"/>
        <v>84.8</v>
      </c>
      <c r="BF35" s="1311">
        <v>19642</v>
      </c>
      <c r="BG35" s="1325">
        <f t="shared" si="17"/>
        <v>85.1</v>
      </c>
      <c r="BH35" s="1326">
        <v>2279</v>
      </c>
      <c r="BI35" s="1311">
        <v>62863</v>
      </c>
      <c r="BJ35" s="1327">
        <v>12700</v>
      </c>
      <c r="BK35" s="1326">
        <v>16518</v>
      </c>
      <c r="BL35" s="1328">
        <f t="shared" si="19"/>
        <v>78</v>
      </c>
      <c r="BM35" s="1326">
        <v>13398</v>
      </c>
      <c r="BN35" s="1311">
        <v>9166</v>
      </c>
      <c r="BO35" s="1636">
        <v>22</v>
      </c>
      <c r="BP35" s="1309" t="s">
        <v>352</v>
      </c>
    </row>
    <row r="36" spans="1:68" s="1309" customFormat="1" ht="17.100000000000001" customHeight="1" x14ac:dyDescent="0.25">
      <c r="A36" s="1411">
        <v>54</v>
      </c>
      <c r="B36" s="1331" t="s">
        <v>125</v>
      </c>
      <c r="C36" s="1313">
        <v>23615</v>
      </c>
      <c r="D36" s="1314">
        <v>21757</v>
      </c>
      <c r="E36" s="1315">
        <f t="shared" si="0"/>
        <v>92.1</v>
      </c>
      <c r="F36" s="1316">
        <v>20045</v>
      </c>
      <c r="G36" s="1317">
        <f t="shared" si="0"/>
        <v>84.9</v>
      </c>
      <c r="H36" s="1318">
        <v>1067</v>
      </c>
      <c r="I36" s="1319">
        <f t="shared" si="0"/>
        <v>4.5</v>
      </c>
      <c r="J36" s="1320">
        <v>21112</v>
      </c>
      <c r="K36" s="1315">
        <f t="shared" si="1"/>
        <v>89.4</v>
      </c>
      <c r="L36" s="1311">
        <v>23861</v>
      </c>
      <c r="M36" s="1315">
        <f t="shared" si="2"/>
        <v>101</v>
      </c>
      <c r="N36" s="1311">
        <v>24532</v>
      </c>
      <c r="O36" s="1315">
        <f t="shared" si="2"/>
        <v>103.9</v>
      </c>
      <c r="P36" s="1311">
        <v>24319</v>
      </c>
      <c r="Q36" s="1315">
        <f t="shared" si="3"/>
        <v>103</v>
      </c>
      <c r="R36" s="1311">
        <v>24981</v>
      </c>
      <c r="S36" s="1315">
        <f t="shared" si="4"/>
        <v>105.8</v>
      </c>
      <c r="T36" s="1311">
        <v>24661</v>
      </c>
      <c r="U36" s="1315">
        <f t="shared" si="5"/>
        <v>104.4</v>
      </c>
      <c r="V36" s="1311">
        <v>23781</v>
      </c>
      <c r="W36" s="1315">
        <f t="shared" si="6"/>
        <v>100.7</v>
      </c>
      <c r="X36" s="1311">
        <v>23609</v>
      </c>
      <c r="Y36" s="1315">
        <f t="shared" si="7"/>
        <v>100</v>
      </c>
      <c r="Z36" s="1316">
        <v>21108</v>
      </c>
      <c r="AA36" s="1315">
        <f t="shared" si="20"/>
        <v>119.2</v>
      </c>
      <c r="AB36" s="1310">
        <v>13236</v>
      </c>
      <c r="AC36" s="1315">
        <f t="shared" si="21"/>
        <v>74.7</v>
      </c>
      <c r="AD36" s="1311">
        <v>28044</v>
      </c>
      <c r="AE36" s="1315">
        <f t="shared" si="8"/>
        <v>118.8</v>
      </c>
      <c r="AF36" s="1311">
        <v>24337</v>
      </c>
      <c r="AG36" s="1317">
        <f t="shared" si="9"/>
        <v>103.1</v>
      </c>
      <c r="AH36" s="1321">
        <v>23996</v>
      </c>
      <c r="AI36" s="1314">
        <v>23993</v>
      </c>
      <c r="AJ36" s="1315">
        <f t="shared" si="10"/>
        <v>100</v>
      </c>
      <c r="AK36" s="1316">
        <v>24932</v>
      </c>
      <c r="AL36" s="1315">
        <f t="shared" si="22"/>
        <v>103.9</v>
      </c>
      <c r="AM36" s="1200">
        <v>19094</v>
      </c>
      <c r="AN36" s="1315">
        <f t="shared" si="11"/>
        <v>79.599999999999994</v>
      </c>
      <c r="AO36" s="1311">
        <v>23226</v>
      </c>
      <c r="AP36" s="1315">
        <f t="shared" si="12"/>
        <v>96.8</v>
      </c>
      <c r="AQ36" s="1322">
        <v>1135</v>
      </c>
      <c r="AR36" s="1315">
        <f t="shared" si="18"/>
        <v>4.7299549924987501</v>
      </c>
      <c r="AS36" s="1322">
        <v>1459</v>
      </c>
      <c r="AT36" s="1322">
        <v>746</v>
      </c>
      <c r="AU36" s="1311">
        <v>23958</v>
      </c>
      <c r="AV36" s="1315">
        <f t="shared" si="23"/>
        <v>99.8</v>
      </c>
      <c r="AW36" s="1311">
        <v>19946</v>
      </c>
      <c r="AX36" s="1315">
        <f t="shared" si="13"/>
        <v>83.1</v>
      </c>
      <c r="AY36" s="1311">
        <v>19996</v>
      </c>
      <c r="AZ36" s="1317">
        <f t="shared" si="14"/>
        <v>83.3</v>
      </c>
      <c r="BA36" s="1323">
        <v>24010</v>
      </c>
      <c r="BB36" s="1311">
        <v>21138</v>
      </c>
      <c r="BC36" s="1324">
        <f t="shared" si="15"/>
        <v>88</v>
      </c>
      <c r="BD36" s="1311">
        <v>21159</v>
      </c>
      <c r="BE36" s="1324">
        <f t="shared" si="16"/>
        <v>88.1</v>
      </c>
      <c r="BF36" s="1311">
        <v>20907</v>
      </c>
      <c r="BG36" s="1325">
        <f t="shared" si="17"/>
        <v>87.1</v>
      </c>
      <c r="BH36" s="1326">
        <v>9716</v>
      </c>
      <c r="BI36" s="1311">
        <v>28373</v>
      </c>
      <c r="BJ36" s="1327">
        <v>14159</v>
      </c>
      <c r="BK36" s="1326">
        <v>18139</v>
      </c>
      <c r="BL36" s="1328">
        <f t="shared" si="19"/>
        <v>76.8</v>
      </c>
      <c r="BM36" s="1326">
        <v>3226</v>
      </c>
      <c r="BN36" s="1311">
        <v>1394</v>
      </c>
      <c r="BO36" s="1636">
        <v>20</v>
      </c>
      <c r="BP36" s="1309" t="s">
        <v>345</v>
      </c>
    </row>
    <row r="37" spans="1:68" s="1309" customFormat="1" ht="17.100000000000001" customHeight="1" x14ac:dyDescent="0.25">
      <c r="A37" s="1411">
        <v>86</v>
      </c>
      <c r="B37" s="1312" t="s">
        <v>31</v>
      </c>
      <c r="C37" s="1313">
        <v>4978</v>
      </c>
      <c r="D37" s="1314">
        <v>4331</v>
      </c>
      <c r="E37" s="1315">
        <f t="shared" si="0"/>
        <v>87</v>
      </c>
      <c r="F37" s="1316">
        <v>4067</v>
      </c>
      <c r="G37" s="1317">
        <f t="shared" si="0"/>
        <v>81.7</v>
      </c>
      <c r="H37" s="1318">
        <v>302</v>
      </c>
      <c r="I37" s="1319">
        <f t="shared" si="0"/>
        <v>6.1</v>
      </c>
      <c r="J37" s="1320">
        <v>4369</v>
      </c>
      <c r="K37" s="1315">
        <f t="shared" si="1"/>
        <v>87.8</v>
      </c>
      <c r="L37" s="1311">
        <v>4786</v>
      </c>
      <c r="M37" s="1315">
        <f t="shared" si="2"/>
        <v>96.1</v>
      </c>
      <c r="N37" s="1311">
        <v>4592</v>
      </c>
      <c r="O37" s="1315">
        <f t="shared" si="2"/>
        <v>92.2</v>
      </c>
      <c r="P37" s="1311">
        <v>4787</v>
      </c>
      <c r="Q37" s="1315">
        <f t="shared" si="3"/>
        <v>96.2</v>
      </c>
      <c r="R37" s="1311">
        <v>4682</v>
      </c>
      <c r="S37" s="1315">
        <f t="shared" si="4"/>
        <v>94.1</v>
      </c>
      <c r="T37" s="1311">
        <v>4593</v>
      </c>
      <c r="U37" s="1315">
        <f t="shared" si="5"/>
        <v>92.3</v>
      </c>
      <c r="V37" s="1311">
        <v>4622</v>
      </c>
      <c r="W37" s="1315">
        <f t="shared" si="6"/>
        <v>92.8</v>
      </c>
      <c r="X37" s="1311">
        <v>4555</v>
      </c>
      <c r="Y37" s="1315">
        <f t="shared" si="7"/>
        <v>91.5</v>
      </c>
      <c r="Z37" s="1316">
        <v>3257</v>
      </c>
      <c r="AA37" s="1315">
        <f t="shared" si="20"/>
        <v>87.2</v>
      </c>
      <c r="AB37" s="1310">
        <v>2555</v>
      </c>
      <c r="AC37" s="1315">
        <f t="shared" si="21"/>
        <v>68.400000000000006</v>
      </c>
      <c r="AD37" s="1311">
        <v>4797</v>
      </c>
      <c r="AE37" s="1315">
        <f t="shared" si="8"/>
        <v>96.4</v>
      </c>
      <c r="AF37" s="1311">
        <v>4692</v>
      </c>
      <c r="AG37" s="1317">
        <f t="shared" si="9"/>
        <v>94.3</v>
      </c>
      <c r="AH37" s="1321">
        <v>5156</v>
      </c>
      <c r="AI37" s="1314">
        <v>4718</v>
      </c>
      <c r="AJ37" s="1315">
        <f t="shared" si="10"/>
        <v>91.5</v>
      </c>
      <c r="AK37" s="1316">
        <v>4673</v>
      </c>
      <c r="AL37" s="1315">
        <f t="shared" si="22"/>
        <v>90.6</v>
      </c>
      <c r="AM37" s="1200">
        <v>7119</v>
      </c>
      <c r="AN37" s="1315">
        <f t="shared" si="11"/>
        <v>138.1</v>
      </c>
      <c r="AO37" s="1311">
        <v>4696</v>
      </c>
      <c r="AP37" s="1315">
        <f t="shared" si="12"/>
        <v>91.1</v>
      </c>
      <c r="AQ37" s="1322">
        <v>32</v>
      </c>
      <c r="AR37" s="1315">
        <f t="shared" si="18"/>
        <v>0.6206361520558572</v>
      </c>
      <c r="AS37" s="1322">
        <v>127</v>
      </c>
      <c r="AT37" s="1322">
        <v>96</v>
      </c>
      <c r="AU37" s="1311">
        <v>4754</v>
      </c>
      <c r="AV37" s="1315">
        <f t="shared" si="23"/>
        <v>92.2</v>
      </c>
      <c r="AW37" s="1311">
        <v>4548</v>
      </c>
      <c r="AX37" s="1315">
        <f t="shared" si="13"/>
        <v>88.2</v>
      </c>
      <c r="AY37" s="1311">
        <v>4554</v>
      </c>
      <c r="AZ37" s="1317">
        <f t="shared" si="14"/>
        <v>88.3</v>
      </c>
      <c r="BA37" s="1323">
        <v>5528</v>
      </c>
      <c r="BB37" s="1311">
        <v>5240</v>
      </c>
      <c r="BC37" s="1324">
        <f t="shared" si="15"/>
        <v>94.8</v>
      </c>
      <c r="BD37" s="1311">
        <v>5238</v>
      </c>
      <c r="BE37" s="1324">
        <f t="shared" si="16"/>
        <v>94.8</v>
      </c>
      <c r="BF37" s="1311">
        <v>5260</v>
      </c>
      <c r="BG37" s="1325">
        <f t="shared" si="17"/>
        <v>95.2</v>
      </c>
      <c r="BH37" s="1326">
        <v>770</v>
      </c>
      <c r="BI37" s="1311">
        <v>9444</v>
      </c>
      <c r="BJ37" s="1327">
        <v>3108</v>
      </c>
      <c r="BK37" s="1326">
        <v>3984</v>
      </c>
      <c r="BL37" s="1328">
        <f t="shared" si="19"/>
        <v>80</v>
      </c>
      <c r="BM37" s="1326">
        <v>1832</v>
      </c>
      <c r="BN37" s="1311">
        <v>815</v>
      </c>
      <c r="BO37" s="1636">
        <v>30</v>
      </c>
      <c r="BP37" s="1309" t="s">
        <v>344</v>
      </c>
    </row>
    <row r="38" spans="1:68" s="1309" customFormat="1" ht="17.100000000000001" customHeight="1" x14ac:dyDescent="0.25">
      <c r="A38" s="1411">
        <v>63</v>
      </c>
      <c r="B38" s="1329" t="s">
        <v>32</v>
      </c>
      <c r="C38" s="1313">
        <v>5966</v>
      </c>
      <c r="D38" s="1314">
        <v>6125</v>
      </c>
      <c r="E38" s="1315">
        <f t="shared" si="0"/>
        <v>102.7</v>
      </c>
      <c r="F38" s="1316">
        <v>6039</v>
      </c>
      <c r="G38" s="1317">
        <f t="shared" si="0"/>
        <v>101.2</v>
      </c>
      <c r="H38" s="1318">
        <v>45</v>
      </c>
      <c r="I38" s="1319">
        <f t="shared" si="0"/>
        <v>0.8</v>
      </c>
      <c r="J38" s="1320">
        <v>6084</v>
      </c>
      <c r="K38" s="1315">
        <f t="shared" si="1"/>
        <v>102</v>
      </c>
      <c r="L38" s="1311">
        <v>5681</v>
      </c>
      <c r="M38" s="1315">
        <f t="shared" si="2"/>
        <v>95.2</v>
      </c>
      <c r="N38" s="1311">
        <v>5579</v>
      </c>
      <c r="O38" s="1315">
        <f t="shared" si="2"/>
        <v>93.5</v>
      </c>
      <c r="P38" s="1311">
        <v>5690</v>
      </c>
      <c r="Q38" s="1315">
        <f t="shared" si="3"/>
        <v>95.4</v>
      </c>
      <c r="R38" s="1311">
        <v>5724</v>
      </c>
      <c r="S38" s="1315">
        <f t="shared" si="4"/>
        <v>95.9</v>
      </c>
      <c r="T38" s="1311">
        <v>5577</v>
      </c>
      <c r="U38" s="1315">
        <f t="shared" si="5"/>
        <v>93.5</v>
      </c>
      <c r="V38" s="1311">
        <v>5690</v>
      </c>
      <c r="W38" s="1315">
        <f t="shared" si="6"/>
        <v>95.4</v>
      </c>
      <c r="X38" s="1311">
        <v>5732</v>
      </c>
      <c r="Y38" s="1315">
        <f t="shared" si="7"/>
        <v>96.1</v>
      </c>
      <c r="Z38" s="1316">
        <v>4576</v>
      </c>
      <c r="AA38" s="1315">
        <f t="shared" si="20"/>
        <v>102.3</v>
      </c>
      <c r="AB38" s="1310">
        <v>3546</v>
      </c>
      <c r="AC38" s="1315">
        <f t="shared" si="21"/>
        <v>79.2</v>
      </c>
      <c r="AD38" s="1311">
        <v>5751</v>
      </c>
      <c r="AE38" s="1315">
        <f t="shared" si="8"/>
        <v>96.4</v>
      </c>
      <c r="AF38" s="1311">
        <v>5774</v>
      </c>
      <c r="AG38" s="1317">
        <f t="shared" si="9"/>
        <v>96.8</v>
      </c>
      <c r="AH38" s="1321">
        <v>5938</v>
      </c>
      <c r="AI38" s="1314">
        <v>5799</v>
      </c>
      <c r="AJ38" s="1315">
        <f t="shared" si="10"/>
        <v>97.7</v>
      </c>
      <c r="AK38" s="1316">
        <v>5787</v>
      </c>
      <c r="AL38" s="1315">
        <f t="shared" si="22"/>
        <v>97.5</v>
      </c>
      <c r="AM38" s="1200">
        <v>5562</v>
      </c>
      <c r="AN38" s="1315">
        <f t="shared" si="11"/>
        <v>93.7</v>
      </c>
      <c r="AO38" s="1311">
        <v>5774</v>
      </c>
      <c r="AP38" s="1315">
        <f t="shared" si="12"/>
        <v>97.2</v>
      </c>
      <c r="AQ38" s="1322">
        <v>25</v>
      </c>
      <c r="AR38" s="1315">
        <f t="shared" si="18"/>
        <v>0.42101717750084205</v>
      </c>
      <c r="AS38" s="1322">
        <v>26</v>
      </c>
      <c r="AT38" s="1322">
        <v>24</v>
      </c>
      <c r="AU38" s="1311">
        <v>5481</v>
      </c>
      <c r="AV38" s="1315">
        <f t="shared" si="23"/>
        <v>92.3</v>
      </c>
      <c r="AW38" s="1311">
        <v>5678</v>
      </c>
      <c r="AX38" s="1315">
        <f t="shared" si="13"/>
        <v>95.6</v>
      </c>
      <c r="AY38" s="1311">
        <v>5687</v>
      </c>
      <c r="AZ38" s="1317">
        <f t="shared" si="14"/>
        <v>95.8</v>
      </c>
      <c r="BA38" s="1323">
        <v>6231</v>
      </c>
      <c r="BB38" s="1311">
        <v>5830</v>
      </c>
      <c r="BC38" s="1324">
        <f t="shared" si="15"/>
        <v>93.6</v>
      </c>
      <c r="BD38" s="1311">
        <v>5822</v>
      </c>
      <c r="BE38" s="1324">
        <f t="shared" si="16"/>
        <v>93.4</v>
      </c>
      <c r="BF38" s="1311">
        <v>5834</v>
      </c>
      <c r="BG38" s="1325">
        <f t="shared" si="17"/>
        <v>93.6</v>
      </c>
      <c r="BH38" s="1326">
        <v>1969</v>
      </c>
      <c r="BI38" s="1311">
        <v>17717</v>
      </c>
      <c r="BJ38" s="1327">
        <v>3960</v>
      </c>
      <c r="BK38" s="1326">
        <v>5200</v>
      </c>
      <c r="BL38" s="1328">
        <f t="shared" si="19"/>
        <v>87.2</v>
      </c>
      <c r="BM38" s="1326">
        <v>1921</v>
      </c>
      <c r="BN38" s="1311">
        <v>879</v>
      </c>
      <c r="BO38" s="1636">
        <v>36</v>
      </c>
      <c r="BP38" s="1309" t="s">
        <v>345</v>
      </c>
    </row>
    <row r="39" spans="1:68" s="1309" customFormat="1" ht="17.100000000000001" customHeight="1" x14ac:dyDescent="0.25">
      <c r="A39" s="1411">
        <v>66</v>
      </c>
      <c r="B39" s="1329" t="s">
        <v>33</v>
      </c>
      <c r="C39" s="1313">
        <v>11159</v>
      </c>
      <c r="D39" s="1314">
        <v>11039</v>
      </c>
      <c r="E39" s="1315">
        <f t="shared" si="0"/>
        <v>98.9</v>
      </c>
      <c r="F39" s="1316">
        <v>10743</v>
      </c>
      <c r="G39" s="1317">
        <f t="shared" si="0"/>
        <v>96.3</v>
      </c>
      <c r="H39" s="1318">
        <v>240</v>
      </c>
      <c r="I39" s="1319">
        <f t="shared" si="0"/>
        <v>2.2000000000000002</v>
      </c>
      <c r="J39" s="1320">
        <v>10983</v>
      </c>
      <c r="K39" s="1315">
        <f t="shared" si="1"/>
        <v>98.4</v>
      </c>
      <c r="L39" s="1311">
        <v>10418</v>
      </c>
      <c r="M39" s="1315">
        <f t="shared" si="2"/>
        <v>93.4</v>
      </c>
      <c r="N39" s="1311">
        <v>10188</v>
      </c>
      <c r="O39" s="1315">
        <f t="shared" si="2"/>
        <v>91.3</v>
      </c>
      <c r="P39" s="1311">
        <v>10427</v>
      </c>
      <c r="Q39" s="1315">
        <f t="shared" si="3"/>
        <v>93.4</v>
      </c>
      <c r="R39" s="1311">
        <v>10351</v>
      </c>
      <c r="S39" s="1315">
        <f t="shared" si="4"/>
        <v>92.8</v>
      </c>
      <c r="T39" s="1311">
        <v>10187</v>
      </c>
      <c r="U39" s="1315">
        <f t="shared" si="5"/>
        <v>91.3</v>
      </c>
      <c r="V39" s="1311">
        <v>10208</v>
      </c>
      <c r="W39" s="1315">
        <f t="shared" si="6"/>
        <v>91.5</v>
      </c>
      <c r="X39" s="1311">
        <v>10169</v>
      </c>
      <c r="Y39" s="1315">
        <f t="shared" si="7"/>
        <v>91.1</v>
      </c>
      <c r="Z39" s="1316">
        <v>8852</v>
      </c>
      <c r="AA39" s="1315">
        <f t="shared" si="20"/>
        <v>105.8</v>
      </c>
      <c r="AB39" s="1310">
        <v>6400</v>
      </c>
      <c r="AC39" s="1315">
        <f t="shared" si="21"/>
        <v>76.5</v>
      </c>
      <c r="AD39" s="1311">
        <v>10311</v>
      </c>
      <c r="AE39" s="1315">
        <f t="shared" si="8"/>
        <v>92.4</v>
      </c>
      <c r="AF39" s="1311">
        <v>10246</v>
      </c>
      <c r="AG39" s="1317">
        <f t="shared" si="9"/>
        <v>91.8</v>
      </c>
      <c r="AH39" s="1321">
        <v>11247</v>
      </c>
      <c r="AI39" s="1314">
        <v>10595</v>
      </c>
      <c r="AJ39" s="1315">
        <f t="shared" si="10"/>
        <v>94.2</v>
      </c>
      <c r="AK39" s="1316">
        <v>10584</v>
      </c>
      <c r="AL39" s="1315">
        <f t="shared" si="22"/>
        <v>94.1</v>
      </c>
      <c r="AM39" s="1200">
        <v>10047</v>
      </c>
      <c r="AN39" s="1315">
        <f t="shared" si="11"/>
        <v>89.3</v>
      </c>
      <c r="AO39" s="1311">
        <v>10201</v>
      </c>
      <c r="AP39" s="1315">
        <f t="shared" si="12"/>
        <v>90.7</v>
      </c>
      <c r="AQ39" s="1322">
        <v>75</v>
      </c>
      <c r="AR39" s="1315">
        <f t="shared" si="18"/>
        <v>0.66684449186449712</v>
      </c>
      <c r="AS39" s="1322">
        <v>89</v>
      </c>
      <c r="AT39" s="1322">
        <v>182</v>
      </c>
      <c r="AU39" s="1311">
        <v>10605</v>
      </c>
      <c r="AV39" s="1315">
        <f t="shared" si="23"/>
        <v>94.3</v>
      </c>
      <c r="AW39" s="1311">
        <v>10431</v>
      </c>
      <c r="AX39" s="1315">
        <f t="shared" si="13"/>
        <v>92.7</v>
      </c>
      <c r="AY39" s="1311">
        <v>10315</v>
      </c>
      <c r="AZ39" s="1317">
        <f t="shared" si="14"/>
        <v>91.7</v>
      </c>
      <c r="BA39" s="1323">
        <v>11878</v>
      </c>
      <c r="BB39" s="1311">
        <v>11090</v>
      </c>
      <c r="BC39" s="1324">
        <f t="shared" si="15"/>
        <v>93.4</v>
      </c>
      <c r="BD39" s="1311">
        <v>11016</v>
      </c>
      <c r="BE39" s="1324">
        <f t="shared" si="16"/>
        <v>92.7</v>
      </c>
      <c r="BF39" s="1311">
        <v>10840</v>
      </c>
      <c r="BG39" s="1325">
        <f t="shared" si="17"/>
        <v>91.3</v>
      </c>
      <c r="BH39" s="1326">
        <v>2995</v>
      </c>
      <c r="BI39" s="1311">
        <v>34588</v>
      </c>
      <c r="BJ39" s="1327">
        <v>5969</v>
      </c>
      <c r="BK39" s="1326">
        <v>9239</v>
      </c>
      <c r="BL39" s="1328">
        <f t="shared" si="19"/>
        <v>82.8</v>
      </c>
      <c r="BM39" s="1326">
        <v>2771</v>
      </c>
      <c r="BN39" s="1311">
        <v>1201</v>
      </c>
      <c r="BO39" s="1636">
        <v>124</v>
      </c>
      <c r="BP39" s="1309" t="s">
        <v>345</v>
      </c>
    </row>
    <row r="40" spans="1:68" s="1309" customFormat="1" ht="17.100000000000001" customHeight="1" x14ac:dyDescent="0.25">
      <c r="A40" s="1411">
        <v>88</v>
      </c>
      <c r="B40" s="1329" t="s">
        <v>359</v>
      </c>
      <c r="C40" s="1313">
        <v>893</v>
      </c>
      <c r="D40" s="1314">
        <v>794</v>
      </c>
      <c r="E40" s="1315">
        <f t="shared" si="0"/>
        <v>88.9</v>
      </c>
      <c r="F40" s="1316">
        <v>482</v>
      </c>
      <c r="G40" s="1317">
        <f t="shared" si="0"/>
        <v>54</v>
      </c>
      <c r="H40" s="1318">
        <v>306</v>
      </c>
      <c r="I40" s="1319">
        <f t="shared" si="0"/>
        <v>34.299999999999997</v>
      </c>
      <c r="J40" s="1320">
        <v>788</v>
      </c>
      <c r="K40" s="1315">
        <f t="shared" si="1"/>
        <v>88.2</v>
      </c>
      <c r="L40" s="1311">
        <v>820</v>
      </c>
      <c r="M40" s="1315">
        <f t="shared" si="2"/>
        <v>91.8</v>
      </c>
      <c r="N40" s="1311">
        <v>867</v>
      </c>
      <c r="O40" s="1315">
        <f t="shared" si="2"/>
        <v>97.1</v>
      </c>
      <c r="P40" s="1311">
        <v>823</v>
      </c>
      <c r="Q40" s="1315">
        <f t="shared" si="3"/>
        <v>92.2</v>
      </c>
      <c r="R40" s="1311">
        <v>841</v>
      </c>
      <c r="S40" s="1315">
        <f t="shared" si="4"/>
        <v>94.2</v>
      </c>
      <c r="T40" s="1311">
        <v>862</v>
      </c>
      <c r="U40" s="1315">
        <f t="shared" si="5"/>
        <v>96.5</v>
      </c>
      <c r="V40" s="1311">
        <v>789</v>
      </c>
      <c r="W40" s="1315">
        <f t="shared" si="6"/>
        <v>88.4</v>
      </c>
      <c r="X40" s="1311">
        <v>825</v>
      </c>
      <c r="Y40" s="1315">
        <f t="shared" si="7"/>
        <v>92.4</v>
      </c>
      <c r="Z40" s="1316">
        <v>745</v>
      </c>
      <c r="AA40" s="1315">
        <f t="shared" si="20"/>
        <v>111.2</v>
      </c>
      <c r="AB40" s="1310">
        <v>490</v>
      </c>
      <c r="AC40" s="1315">
        <f t="shared" si="21"/>
        <v>73.2</v>
      </c>
      <c r="AD40" s="1311">
        <v>824</v>
      </c>
      <c r="AE40" s="1315">
        <f t="shared" si="8"/>
        <v>92.3</v>
      </c>
      <c r="AF40" s="1311">
        <v>850</v>
      </c>
      <c r="AG40" s="1317">
        <f t="shared" si="9"/>
        <v>95.2</v>
      </c>
      <c r="AH40" s="1321">
        <v>911</v>
      </c>
      <c r="AI40" s="1314">
        <v>866</v>
      </c>
      <c r="AJ40" s="1315">
        <f t="shared" si="10"/>
        <v>95.1</v>
      </c>
      <c r="AK40" s="1316">
        <v>860</v>
      </c>
      <c r="AL40" s="1315">
        <f t="shared" si="22"/>
        <v>94.4</v>
      </c>
      <c r="AM40" s="1200">
        <v>735</v>
      </c>
      <c r="AN40" s="1315">
        <f t="shared" si="11"/>
        <v>80.7</v>
      </c>
      <c r="AO40" s="1311">
        <v>866</v>
      </c>
      <c r="AP40" s="1315">
        <f t="shared" si="12"/>
        <v>95.1</v>
      </c>
      <c r="AQ40" s="1322">
        <v>0</v>
      </c>
      <c r="AR40" s="1315">
        <f t="shared" si="18"/>
        <v>0</v>
      </c>
      <c r="AS40" s="1322">
        <v>1</v>
      </c>
      <c r="AT40" s="1322">
        <v>1</v>
      </c>
      <c r="AU40" s="1311">
        <v>867</v>
      </c>
      <c r="AV40" s="1315">
        <f t="shared" si="23"/>
        <v>95.2</v>
      </c>
      <c r="AW40" s="1311">
        <v>789</v>
      </c>
      <c r="AX40" s="1315">
        <f t="shared" si="13"/>
        <v>86.6</v>
      </c>
      <c r="AY40" s="1311">
        <v>791</v>
      </c>
      <c r="AZ40" s="1317">
        <f t="shared" si="14"/>
        <v>86.8</v>
      </c>
      <c r="BA40" s="1323">
        <v>924</v>
      </c>
      <c r="BB40" s="1311">
        <v>784</v>
      </c>
      <c r="BC40" s="1324">
        <f t="shared" si="15"/>
        <v>84.8</v>
      </c>
      <c r="BD40" s="1311">
        <v>804</v>
      </c>
      <c r="BE40" s="1324">
        <f t="shared" si="16"/>
        <v>87</v>
      </c>
      <c r="BF40" s="1311">
        <v>821</v>
      </c>
      <c r="BG40" s="1325">
        <f t="shared" si="17"/>
        <v>88.9</v>
      </c>
      <c r="BH40" s="1326">
        <v>1147</v>
      </c>
      <c r="BI40" s="1311">
        <v>1468</v>
      </c>
      <c r="BJ40" s="1327">
        <v>554</v>
      </c>
      <c r="BK40" s="1326">
        <v>735</v>
      </c>
      <c r="BL40" s="1328">
        <f t="shared" si="19"/>
        <v>82.3</v>
      </c>
      <c r="BM40" s="1326">
        <v>152</v>
      </c>
      <c r="BN40" s="1311">
        <v>58</v>
      </c>
      <c r="BO40" s="1636">
        <v>15</v>
      </c>
      <c r="BP40" s="1309" t="s">
        <v>347</v>
      </c>
    </row>
    <row r="41" spans="1:68" s="1309" customFormat="1" ht="17.100000000000001" customHeight="1" x14ac:dyDescent="0.25">
      <c r="A41" s="1411">
        <v>68</v>
      </c>
      <c r="B41" s="1329" t="s">
        <v>35</v>
      </c>
      <c r="C41" s="1313">
        <v>33237</v>
      </c>
      <c r="D41" s="1314">
        <v>30640</v>
      </c>
      <c r="E41" s="1315">
        <f t="shared" si="0"/>
        <v>92.2</v>
      </c>
      <c r="F41" s="1316">
        <v>30670</v>
      </c>
      <c r="G41" s="1317">
        <f t="shared" si="0"/>
        <v>92.3</v>
      </c>
      <c r="H41" s="1318">
        <v>17</v>
      </c>
      <c r="I41" s="1319">
        <f t="shared" si="0"/>
        <v>0.1</v>
      </c>
      <c r="J41" s="1320">
        <v>30687</v>
      </c>
      <c r="K41" s="1315">
        <f t="shared" si="1"/>
        <v>92.3</v>
      </c>
      <c r="L41" s="1311">
        <v>29175</v>
      </c>
      <c r="M41" s="1315">
        <f t="shared" si="2"/>
        <v>87.8</v>
      </c>
      <c r="N41" s="1311">
        <v>29387</v>
      </c>
      <c r="O41" s="1315">
        <f t="shared" si="2"/>
        <v>88.4</v>
      </c>
      <c r="P41" s="1311">
        <v>29504</v>
      </c>
      <c r="Q41" s="1315">
        <f t="shared" si="3"/>
        <v>88.8</v>
      </c>
      <c r="R41" s="1311">
        <v>29388</v>
      </c>
      <c r="S41" s="1315">
        <f t="shared" si="4"/>
        <v>88.4</v>
      </c>
      <c r="T41" s="1311">
        <v>29619</v>
      </c>
      <c r="U41" s="1315">
        <f t="shared" si="5"/>
        <v>89.1</v>
      </c>
      <c r="V41" s="1311">
        <v>29219</v>
      </c>
      <c r="W41" s="1315">
        <f t="shared" si="6"/>
        <v>87.9</v>
      </c>
      <c r="X41" s="1311">
        <v>29164</v>
      </c>
      <c r="Y41" s="1315">
        <f t="shared" si="7"/>
        <v>87.7</v>
      </c>
      <c r="Z41" s="1316">
        <v>26155</v>
      </c>
      <c r="AA41" s="1315">
        <f t="shared" si="20"/>
        <v>104.9</v>
      </c>
      <c r="AB41" s="1310">
        <v>20321</v>
      </c>
      <c r="AC41" s="1315">
        <f t="shared" si="21"/>
        <v>81.5</v>
      </c>
      <c r="AD41" s="1311">
        <v>29859</v>
      </c>
      <c r="AE41" s="1315">
        <f t="shared" si="8"/>
        <v>89.8</v>
      </c>
      <c r="AF41" s="1311">
        <v>29736</v>
      </c>
      <c r="AG41" s="1317">
        <f t="shared" si="9"/>
        <v>89.5</v>
      </c>
      <c r="AH41" s="1321">
        <v>33357</v>
      </c>
      <c r="AI41" s="1314">
        <v>29984</v>
      </c>
      <c r="AJ41" s="1315">
        <f t="shared" si="10"/>
        <v>89.9</v>
      </c>
      <c r="AK41" s="1316">
        <v>30268</v>
      </c>
      <c r="AL41" s="1315">
        <f t="shared" si="22"/>
        <v>90.7</v>
      </c>
      <c r="AM41" s="1200">
        <v>28308</v>
      </c>
      <c r="AN41" s="1315">
        <f t="shared" si="11"/>
        <v>84.9</v>
      </c>
      <c r="AO41" s="1311">
        <v>30151</v>
      </c>
      <c r="AP41" s="1315">
        <f t="shared" si="12"/>
        <v>90.4</v>
      </c>
      <c r="AQ41" s="1322">
        <v>307</v>
      </c>
      <c r="AR41" s="1315">
        <f t="shared" si="18"/>
        <v>0.92034655394669795</v>
      </c>
      <c r="AS41" s="1322">
        <v>175</v>
      </c>
      <c r="AT41" s="1322">
        <v>362</v>
      </c>
      <c r="AU41" s="1311">
        <v>29874</v>
      </c>
      <c r="AV41" s="1315">
        <f t="shared" si="23"/>
        <v>89.6</v>
      </c>
      <c r="AW41" s="1311">
        <v>28457</v>
      </c>
      <c r="AX41" s="1315">
        <f t="shared" si="13"/>
        <v>85.3</v>
      </c>
      <c r="AY41" s="1311">
        <v>28550</v>
      </c>
      <c r="AZ41" s="1317">
        <f t="shared" si="14"/>
        <v>85.6</v>
      </c>
      <c r="BA41" s="1323">
        <v>31679</v>
      </c>
      <c r="BB41" s="1311">
        <v>29113</v>
      </c>
      <c r="BC41" s="1324">
        <f t="shared" si="15"/>
        <v>91.9</v>
      </c>
      <c r="BD41" s="1311">
        <v>29306</v>
      </c>
      <c r="BE41" s="1324">
        <f t="shared" si="16"/>
        <v>92.5</v>
      </c>
      <c r="BF41" s="1311">
        <v>27990</v>
      </c>
      <c r="BG41" s="1325">
        <f t="shared" si="17"/>
        <v>88.4</v>
      </c>
      <c r="BH41" s="1326">
        <v>14048</v>
      </c>
      <c r="BI41" s="1311">
        <v>50822</v>
      </c>
      <c r="BJ41" s="1327">
        <v>20309</v>
      </c>
      <c r="BK41" s="1326">
        <v>25680</v>
      </c>
      <c r="BL41" s="1328">
        <f t="shared" si="19"/>
        <v>77.3</v>
      </c>
      <c r="BM41" s="1326">
        <v>3976</v>
      </c>
      <c r="BN41" s="1311">
        <v>2840</v>
      </c>
      <c r="BO41" s="1636">
        <v>416</v>
      </c>
      <c r="BP41" s="1309" t="s">
        <v>345</v>
      </c>
    </row>
    <row r="42" spans="1:68" s="1309" customFormat="1" ht="17.100000000000001" customHeight="1" x14ac:dyDescent="0.25">
      <c r="A42" s="1411">
        <v>70</v>
      </c>
      <c r="B42" s="1329" t="s">
        <v>36</v>
      </c>
      <c r="C42" s="1313">
        <v>15463</v>
      </c>
      <c r="D42" s="1314">
        <v>14992</v>
      </c>
      <c r="E42" s="1315">
        <f t="shared" si="0"/>
        <v>97</v>
      </c>
      <c r="F42" s="1316">
        <v>12247</v>
      </c>
      <c r="G42" s="1317">
        <f t="shared" si="0"/>
        <v>79.2</v>
      </c>
      <c r="H42" s="1318">
        <v>2659</v>
      </c>
      <c r="I42" s="1319">
        <f t="shared" si="0"/>
        <v>17.2</v>
      </c>
      <c r="J42" s="1320">
        <v>14906</v>
      </c>
      <c r="K42" s="1315">
        <f t="shared" si="1"/>
        <v>96.4</v>
      </c>
      <c r="L42" s="1311">
        <v>15220</v>
      </c>
      <c r="M42" s="1315">
        <f t="shared" si="2"/>
        <v>98.4</v>
      </c>
      <c r="N42" s="1311">
        <v>14257</v>
      </c>
      <c r="O42" s="1315">
        <f t="shared" si="2"/>
        <v>92.2</v>
      </c>
      <c r="P42" s="1311">
        <v>15268</v>
      </c>
      <c r="Q42" s="1315">
        <f t="shared" si="3"/>
        <v>98.7</v>
      </c>
      <c r="R42" s="1311">
        <v>14755</v>
      </c>
      <c r="S42" s="1315">
        <f t="shared" si="4"/>
        <v>95.4</v>
      </c>
      <c r="T42" s="1311">
        <v>14247</v>
      </c>
      <c r="U42" s="1315">
        <f t="shared" si="5"/>
        <v>92.1</v>
      </c>
      <c r="V42" s="1311">
        <v>14875</v>
      </c>
      <c r="W42" s="1315">
        <f t="shared" si="6"/>
        <v>96.2</v>
      </c>
      <c r="X42" s="1311">
        <v>14302</v>
      </c>
      <c r="Y42" s="1315">
        <f t="shared" si="7"/>
        <v>92.5</v>
      </c>
      <c r="Z42" s="1316">
        <v>10464</v>
      </c>
      <c r="AA42" s="1315">
        <f t="shared" si="20"/>
        <v>90.2</v>
      </c>
      <c r="AB42" s="1310">
        <v>9441</v>
      </c>
      <c r="AC42" s="1315">
        <f t="shared" si="21"/>
        <v>81.400000000000006</v>
      </c>
      <c r="AD42" s="1311">
        <v>15451</v>
      </c>
      <c r="AE42" s="1315">
        <f t="shared" si="8"/>
        <v>99.9</v>
      </c>
      <c r="AF42" s="1311">
        <v>14664</v>
      </c>
      <c r="AG42" s="1317">
        <f t="shared" si="9"/>
        <v>94.8</v>
      </c>
      <c r="AH42" s="1321">
        <v>15738</v>
      </c>
      <c r="AI42" s="1314">
        <v>14752</v>
      </c>
      <c r="AJ42" s="1315">
        <f t="shared" si="10"/>
        <v>93.7</v>
      </c>
      <c r="AK42" s="1316">
        <v>14361</v>
      </c>
      <c r="AL42" s="1315">
        <f t="shared" si="22"/>
        <v>91.3</v>
      </c>
      <c r="AM42" s="1200">
        <v>14108</v>
      </c>
      <c r="AN42" s="1315">
        <f t="shared" si="11"/>
        <v>89.6</v>
      </c>
      <c r="AO42" s="1311">
        <v>14581</v>
      </c>
      <c r="AP42" s="1315">
        <f t="shared" si="12"/>
        <v>92.6</v>
      </c>
      <c r="AQ42" s="1322">
        <v>112</v>
      </c>
      <c r="AR42" s="1315">
        <f t="shared" si="18"/>
        <v>0.71165332316685725</v>
      </c>
      <c r="AS42" s="1322">
        <v>143</v>
      </c>
      <c r="AT42" s="1322">
        <v>194</v>
      </c>
      <c r="AU42" s="1311">
        <v>14741</v>
      </c>
      <c r="AV42" s="1315">
        <f t="shared" si="23"/>
        <v>93.7</v>
      </c>
      <c r="AW42" s="1311">
        <v>14153</v>
      </c>
      <c r="AX42" s="1315">
        <f t="shared" si="13"/>
        <v>89.9</v>
      </c>
      <c r="AY42" s="1311">
        <v>14138</v>
      </c>
      <c r="AZ42" s="1317">
        <f t="shared" si="14"/>
        <v>89.8</v>
      </c>
      <c r="BA42" s="1323">
        <v>17175</v>
      </c>
      <c r="BB42" s="1311">
        <v>16058</v>
      </c>
      <c r="BC42" s="1324">
        <f t="shared" si="15"/>
        <v>93.5</v>
      </c>
      <c r="BD42" s="1311">
        <v>16057</v>
      </c>
      <c r="BE42" s="1324">
        <f t="shared" si="16"/>
        <v>93.5</v>
      </c>
      <c r="BF42" s="1311">
        <v>16052</v>
      </c>
      <c r="BG42" s="1325">
        <f t="shared" si="17"/>
        <v>93.5</v>
      </c>
      <c r="BH42" s="1326">
        <v>5726</v>
      </c>
      <c r="BI42" s="1311">
        <v>26179</v>
      </c>
      <c r="BJ42" s="1327">
        <v>11281</v>
      </c>
      <c r="BK42" s="1326">
        <v>13690</v>
      </c>
      <c r="BL42" s="1328">
        <f t="shared" si="19"/>
        <v>88.5</v>
      </c>
      <c r="BM42" s="1326">
        <v>570</v>
      </c>
      <c r="BN42" s="1311">
        <v>325</v>
      </c>
      <c r="BO42" s="1636">
        <v>61</v>
      </c>
      <c r="BP42" s="1309" t="s">
        <v>347</v>
      </c>
    </row>
    <row r="43" spans="1:68" s="1309" customFormat="1" ht="17.100000000000001" customHeight="1" x14ac:dyDescent="0.25">
      <c r="A43" s="1411">
        <v>73</v>
      </c>
      <c r="B43" s="1329" t="s">
        <v>37</v>
      </c>
      <c r="C43" s="1313">
        <v>18848</v>
      </c>
      <c r="D43" s="1314">
        <v>16503</v>
      </c>
      <c r="E43" s="1315">
        <f t="shared" si="0"/>
        <v>87.6</v>
      </c>
      <c r="F43" s="1316">
        <v>15402</v>
      </c>
      <c r="G43" s="1317">
        <f t="shared" si="0"/>
        <v>81.7</v>
      </c>
      <c r="H43" s="1318">
        <v>865</v>
      </c>
      <c r="I43" s="1319">
        <f t="shared" si="0"/>
        <v>4.5999999999999996</v>
      </c>
      <c r="J43" s="1320">
        <v>16267</v>
      </c>
      <c r="K43" s="1315">
        <f t="shared" si="1"/>
        <v>86.3</v>
      </c>
      <c r="L43" s="1311">
        <v>17250</v>
      </c>
      <c r="M43" s="1315">
        <f t="shared" si="2"/>
        <v>91.5</v>
      </c>
      <c r="N43" s="1311">
        <v>16827</v>
      </c>
      <c r="O43" s="1315">
        <f t="shared" si="2"/>
        <v>89.3</v>
      </c>
      <c r="P43" s="1311">
        <v>17264</v>
      </c>
      <c r="Q43" s="1315">
        <f t="shared" si="3"/>
        <v>91.6</v>
      </c>
      <c r="R43" s="1311">
        <v>17270</v>
      </c>
      <c r="S43" s="1315">
        <f t="shared" si="4"/>
        <v>91.6</v>
      </c>
      <c r="T43" s="1311">
        <v>16749</v>
      </c>
      <c r="U43" s="1315">
        <f t="shared" si="5"/>
        <v>88.9</v>
      </c>
      <c r="V43" s="1311">
        <v>17147</v>
      </c>
      <c r="W43" s="1315">
        <f t="shared" si="6"/>
        <v>91</v>
      </c>
      <c r="X43" s="1311">
        <v>17234</v>
      </c>
      <c r="Y43" s="1315">
        <f t="shared" si="7"/>
        <v>91.4</v>
      </c>
      <c r="Z43" s="1316">
        <v>14310</v>
      </c>
      <c r="AA43" s="1315">
        <f t="shared" si="20"/>
        <v>101.2</v>
      </c>
      <c r="AB43" s="1310">
        <v>9334</v>
      </c>
      <c r="AC43" s="1315">
        <f t="shared" si="21"/>
        <v>66</v>
      </c>
      <c r="AD43" s="1311">
        <v>17088</v>
      </c>
      <c r="AE43" s="1315">
        <f t="shared" si="8"/>
        <v>90.7</v>
      </c>
      <c r="AF43" s="1311">
        <v>17065</v>
      </c>
      <c r="AG43" s="1317">
        <f t="shared" si="9"/>
        <v>90.5</v>
      </c>
      <c r="AH43" s="1321">
        <v>19010</v>
      </c>
      <c r="AI43" s="1314">
        <v>17589</v>
      </c>
      <c r="AJ43" s="1315">
        <f t="shared" si="10"/>
        <v>92.5</v>
      </c>
      <c r="AK43" s="1316">
        <v>17083</v>
      </c>
      <c r="AL43" s="1315">
        <f t="shared" si="22"/>
        <v>89.9</v>
      </c>
      <c r="AM43" s="1200">
        <v>16545</v>
      </c>
      <c r="AN43" s="1315">
        <f t="shared" si="11"/>
        <v>87</v>
      </c>
      <c r="AO43" s="1311">
        <v>17373</v>
      </c>
      <c r="AP43" s="1315">
        <f t="shared" si="12"/>
        <v>91.4</v>
      </c>
      <c r="AQ43" s="1322">
        <v>49</v>
      </c>
      <c r="AR43" s="1315">
        <f t="shared" si="18"/>
        <v>0.25775907417148869</v>
      </c>
      <c r="AS43" s="1322">
        <v>60</v>
      </c>
      <c r="AT43" s="1322">
        <v>151</v>
      </c>
      <c r="AU43" s="1311">
        <v>17021</v>
      </c>
      <c r="AV43" s="1315">
        <f t="shared" si="23"/>
        <v>89.5</v>
      </c>
      <c r="AW43" s="1311">
        <v>16889</v>
      </c>
      <c r="AX43" s="1315">
        <f t="shared" si="13"/>
        <v>88.8</v>
      </c>
      <c r="AY43" s="1311">
        <v>16866</v>
      </c>
      <c r="AZ43" s="1317">
        <f t="shared" si="14"/>
        <v>88.7</v>
      </c>
      <c r="BA43" s="1323">
        <v>19927</v>
      </c>
      <c r="BB43" s="1311">
        <v>17735</v>
      </c>
      <c r="BC43" s="1324">
        <f t="shared" si="15"/>
        <v>89</v>
      </c>
      <c r="BD43" s="1311">
        <v>17696</v>
      </c>
      <c r="BE43" s="1324">
        <f t="shared" si="16"/>
        <v>88.8</v>
      </c>
      <c r="BF43" s="1311">
        <v>17519</v>
      </c>
      <c r="BG43" s="1325">
        <f t="shared" si="17"/>
        <v>87.9</v>
      </c>
      <c r="BH43" s="1326">
        <v>9298</v>
      </c>
      <c r="BI43" s="1311">
        <v>30002</v>
      </c>
      <c r="BJ43" s="1327">
        <v>9212</v>
      </c>
      <c r="BK43" s="1326">
        <v>14868</v>
      </c>
      <c r="BL43" s="1328">
        <f t="shared" si="19"/>
        <v>78.900000000000006</v>
      </c>
      <c r="BM43" s="1326">
        <v>3365</v>
      </c>
      <c r="BN43" s="1311">
        <v>1354</v>
      </c>
      <c r="BO43" s="1636">
        <v>37</v>
      </c>
      <c r="BP43" s="1309" t="s">
        <v>345</v>
      </c>
    </row>
    <row r="44" spans="1:68" s="1309" customFormat="1" ht="17.100000000000001" customHeight="1" x14ac:dyDescent="0.25">
      <c r="A44" s="1411">
        <v>76</v>
      </c>
      <c r="B44" s="1312" t="s">
        <v>360</v>
      </c>
      <c r="C44" s="1313">
        <v>57449</v>
      </c>
      <c r="D44" s="1314">
        <v>50642</v>
      </c>
      <c r="E44" s="1315">
        <f t="shared" si="0"/>
        <v>88.2</v>
      </c>
      <c r="F44" s="1316">
        <v>46581</v>
      </c>
      <c r="G44" s="1317">
        <f t="shared" si="0"/>
        <v>81.099999999999994</v>
      </c>
      <c r="H44" s="1318">
        <v>4007</v>
      </c>
      <c r="I44" s="1319">
        <f t="shared" si="0"/>
        <v>7</v>
      </c>
      <c r="J44" s="1320">
        <v>50588</v>
      </c>
      <c r="K44" s="1315">
        <f t="shared" si="1"/>
        <v>88.1</v>
      </c>
      <c r="L44" s="1311">
        <v>54615</v>
      </c>
      <c r="M44" s="1315">
        <f t="shared" si="2"/>
        <v>95.1</v>
      </c>
      <c r="N44" s="1311">
        <v>54918</v>
      </c>
      <c r="O44" s="1315">
        <f t="shared" si="2"/>
        <v>95.6</v>
      </c>
      <c r="P44" s="1311">
        <v>54947</v>
      </c>
      <c r="Q44" s="1315">
        <f t="shared" si="3"/>
        <v>95.6</v>
      </c>
      <c r="R44" s="1311">
        <v>54820</v>
      </c>
      <c r="S44" s="1315">
        <f t="shared" si="4"/>
        <v>95.4</v>
      </c>
      <c r="T44" s="1311">
        <v>54670</v>
      </c>
      <c r="U44" s="1315">
        <f t="shared" si="5"/>
        <v>95.2</v>
      </c>
      <c r="V44" s="1311">
        <v>54573</v>
      </c>
      <c r="W44" s="1315">
        <f t="shared" si="6"/>
        <v>95</v>
      </c>
      <c r="X44" s="1311">
        <v>54372</v>
      </c>
      <c r="Y44" s="1315">
        <f t="shared" si="7"/>
        <v>94.6</v>
      </c>
      <c r="Z44" s="1316">
        <v>36587</v>
      </c>
      <c r="AA44" s="1315">
        <f t="shared" si="20"/>
        <v>84.9</v>
      </c>
      <c r="AB44" s="1310">
        <v>25972</v>
      </c>
      <c r="AC44" s="1315">
        <f t="shared" si="21"/>
        <v>60.3</v>
      </c>
      <c r="AD44" s="1311">
        <v>54541</v>
      </c>
      <c r="AE44" s="1315">
        <f t="shared" si="8"/>
        <v>94.9</v>
      </c>
      <c r="AF44" s="1311">
        <v>54364</v>
      </c>
      <c r="AG44" s="1317">
        <f t="shared" si="9"/>
        <v>94.6</v>
      </c>
      <c r="AH44" s="1321">
        <v>58240</v>
      </c>
      <c r="AI44" s="1314">
        <v>55992</v>
      </c>
      <c r="AJ44" s="1315">
        <f t="shared" si="10"/>
        <v>96.1</v>
      </c>
      <c r="AK44" s="1316">
        <v>56228</v>
      </c>
      <c r="AL44" s="1315">
        <f t="shared" si="22"/>
        <v>96.5</v>
      </c>
      <c r="AM44" s="1200">
        <v>54410</v>
      </c>
      <c r="AN44" s="1315">
        <f t="shared" si="11"/>
        <v>93.4</v>
      </c>
      <c r="AO44" s="1311">
        <v>55354</v>
      </c>
      <c r="AP44" s="1315">
        <f t="shared" si="12"/>
        <v>95</v>
      </c>
      <c r="AQ44" s="1322">
        <v>2096</v>
      </c>
      <c r="AR44" s="1315">
        <f t="shared" si="18"/>
        <v>3.5989010989010985</v>
      </c>
      <c r="AS44" s="1322">
        <v>471</v>
      </c>
      <c r="AT44" s="1322">
        <v>2190</v>
      </c>
      <c r="AU44" s="1311">
        <v>55465</v>
      </c>
      <c r="AV44" s="1315">
        <f t="shared" si="23"/>
        <v>95.2</v>
      </c>
      <c r="AW44" s="1311">
        <v>54461</v>
      </c>
      <c r="AX44" s="1315">
        <f t="shared" si="13"/>
        <v>93.5</v>
      </c>
      <c r="AY44" s="1311">
        <v>54693</v>
      </c>
      <c r="AZ44" s="1317">
        <f t="shared" si="14"/>
        <v>93.9</v>
      </c>
      <c r="BA44" s="1323">
        <v>58790</v>
      </c>
      <c r="BB44" s="1311">
        <v>55884</v>
      </c>
      <c r="BC44" s="1324">
        <f t="shared" si="15"/>
        <v>95.1</v>
      </c>
      <c r="BD44" s="1311">
        <v>56161</v>
      </c>
      <c r="BE44" s="1324">
        <f t="shared" si="16"/>
        <v>95.5</v>
      </c>
      <c r="BF44" s="1311">
        <v>55916</v>
      </c>
      <c r="BG44" s="1325">
        <f t="shared" si="17"/>
        <v>95.1</v>
      </c>
      <c r="BH44" s="1326">
        <v>34762</v>
      </c>
      <c r="BI44" s="1311">
        <v>110675</v>
      </c>
      <c r="BJ44" s="1327">
        <v>28213</v>
      </c>
      <c r="BK44" s="1326">
        <v>49125</v>
      </c>
      <c r="BL44" s="1328">
        <f t="shared" si="19"/>
        <v>85.5</v>
      </c>
      <c r="BM44" s="1326">
        <v>7864</v>
      </c>
      <c r="BN44" s="1311">
        <v>4396</v>
      </c>
      <c r="BO44" s="1636">
        <v>1011</v>
      </c>
      <c r="BP44" s="1309" t="s">
        <v>352</v>
      </c>
    </row>
    <row r="45" spans="1:68" s="1309" customFormat="1" ht="17.100000000000001" customHeight="1" x14ac:dyDescent="0.25">
      <c r="A45" s="1411" t="s">
        <v>332</v>
      </c>
      <c r="B45" s="1312" t="s">
        <v>331</v>
      </c>
      <c r="C45" s="1313">
        <v>5898</v>
      </c>
      <c r="D45" s="1314">
        <v>4861</v>
      </c>
      <c r="E45" s="1315">
        <f t="shared" si="0"/>
        <v>82.4</v>
      </c>
      <c r="F45" s="1316">
        <v>4500</v>
      </c>
      <c r="G45" s="1317">
        <f t="shared" si="0"/>
        <v>76.3</v>
      </c>
      <c r="H45" s="1318">
        <v>0</v>
      </c>
      <c r="I45" s="1319">
        <f t="shared" si="0"/>
        <v>0</v>
      </c>
      <c r="J45" s="1320">
        <v>4590</v>
      </c>
      <c r="K45" s="1315">
        <f t="shared" si="1"/>
        <v>77.8</v>
      </c>
      <c r="L45" s="1311">
        <v>5004</v>
      </c>
      <c r="M45" s="1315">
        <f t="shared" si="2"/>
        <v>84.8</v>
      </c>
      <c r="N45" s="1311">
        <v>4009</v>
      </c>
      <c r="O45" s="1315">
        <f t="shared" si="2"/>
        <v>68</v>
      </c>
      <c r="P45" s="1311">
        <v>5038</v>
      </c>
      <c r="Q45" s="1315">
        <f t="shared" si="3"/>
        <v>85.4</v>
      </c>
      <c r="R45" s="1311">
        <v>4610</v>
      </c>
      <c r="S45" s="1315">
        <f t="shared" si="4"/>
        <v>78.2</v>
      </c>
      <c r="T45" s="1311">
        <v>4047</v>
      </c>
      <c r="U45" s="1315">
        <f t="shared" si="5"/>
        <v>68.599999999999994</v>
      </c>
      <c r="V45" s="1311">
        <v>4464</v>
      </c>
      <c r="W45" s="1315">
        <f t="shared" si="6"/>
        <v>75.7</v>
      </c>
      <c r="X45" s="1311">
        <v>4218</v>
      </c>
      <c r="Y45" s="1315">
        <f t="shared" si="7"/>
        <v>71.5</v>
      </c>
      <c r="Z45" s="1316">
        <v>3503</v>
      </c>
      <c r="AA45" s="1315">
        <f t="shared" si="20"/>
        <v>79.2</v>
      </c>
      <c r="AB45" s="1310">
        <v>2193</v>
      </c>
      <c r="AC45" s="1315">
        <f t="shared" si="21"/>
        <v>49.6</v>
      </c>
      <c r="AD45" s="1311">
        <v>5036</v>
      </c>
      <c r="AE45" s="1315">
        <f t="shared" si="8"/>
        <v>85.4</v>
      </c>
      <c r="AF45" s="1311">
        <v>4573</v>
      </c>
      <c r="AG45" s="1317">
        <f t="shared" si="9"/>
        <v>77.5</v>
      </c>
      <c r="AH45" s="1321">
        <v>6138</v>
      </c>
      <c r="AI45" s="1314">
        <v>4689</v>
      </c>
      <c r="AJ45" s="1315">
        <f t="shared" si="10"/>
        <v>76.400000000000006</v>
      </c>
      <c r="AK45" s="1316">
        <v>4550</v>
      </c>
      <c r="AL45" s="1315">
        <f t="shared" si="22"/>
        <v>74.099999999999994</v>
      </c>
      <c r="AM45" s="1200">
        <v>3383</v>
      </c>
      <c r="AN45" s="1315">
        <f t="shared" si="11"/>
        <v>55.1</v>
      </c>
      <c r="AO45" s="1311">
        <v>4521</v>
      </c>
      <c r="AP45" s="1315">
        <f t="shared" si="12"/>
        <v>73.7</v>
      </c>
      <c r="AQ45" s="1322">
        <v>102</v>
      </c>
      <c r="AR45" s="1315">
        <f t="shared" si="18"/>
        <v>1.6617790811339197</v>
      </c>
      <c r="AS45" s="1322">
        <v>220</v>
      </c>
      <c r="AT45" s="1322">
        <v>326</v>
      </c>
      <c r="AU45" s="1311">
        <v>4619</v>
      </c>
      <c r="AV45" s="1315">
        <f t="shared" si="23"/>
        <v>75.3</v>
      </c>
      <c r="AW45" s="1311">
        <v>3592</v>
      </c>
      <c r="AX45" s="1315">
        <f>ROUND(AW45/$AH45*100,1)</f>
        <v>58.5</v>
      </c>
      <c r="AY45" s="1311">
        <v>3614</v>
      </c>
      <c r="AZ45" s="1317">
        <f t="shared" si="14"/>
        <v>58.9</v>
      </c>
      <c r="BA45" s="1323">
        <v>7012</v>
      </c>
      <c r="BB45" s="1311">
        <v>4585</v>
      </c>
      <c r="BC45" s="1324">
        <f t="shared" si="15"/>
        <v>65.400000000000006</v>
      </c>
      <c r="BD45" s="1311">
        <v>4591</v>
      </c>
      <c r="BE45" s="1324">
        <f t="shared" si="16"/>
        <v>65.5</v>
      </c>
      <c r="BF45" s="1311">
        <v>4504</v>
      </c>
      <c r="BG45" s="1325">
        <f t="shared" si="17"/>
        <v>64.2</v>
      </c>
      <c r="BH45" s="1326">
        <v>5486</v>
      </c>
      <c r="BI45" s="1311">
        <v>8517</v>
      </c>
      <c r="BJ45" s="1327">
        <v>3419</v>
      </c>
      <c r="BK45" s="1326">
        <v>3952</v>
      </c>
      <c r="BL45" s="1328">
        <f t="shared" si="19"/>
        <v>67</v>
      </c>
      <c r="BM45" s="1326">
        <v>1193</v>
      </c>
      <c r="BN45" s="1311">
        <v>265</v>
      </c>
      <c r="BO45" s="1636">
        <v>34</v>
      </c>
      <c r="BP45" s="1309" t="s">
        <v>352</v>
      </c>
    </row>
    <row r="46" spans="1:68" s="1309" customFormat="1" ht="17.100000000000001" customHeight="1" x14ac:dyDescent="0.25">
      <c r="A46" s="1411">
        <v>97</v>
      </c>
      <c r="B46" s="1312" t="s">
        <v>39</v>
      </c>
      <c r="C46" s="1313">
        <v>831</v>
      </c>
      <c r="D46" s="1314">
        <v>716</v>
      </c>
      <c r="E46" s="1315">
        <f t="shared" si="0"/>
        <v>86.2</v>
      </c>
      <c r="F46" s="1316">
        <v>334</v>
      </c>
      <c r="G46" s="1317">
        <f t="shared" si="0"/>
        <v>40.200000000000003</v>
      </c>
      <c r="H46" s="1318">
        <v>254</v>
      </c>
      <c r="I46" s="1319">
        <f t="shared" si="0"/>
        <v>30.6</v>
      </c>
      <c r="J46" s="1320">
        <v>588</v>
      </c>
      <c r="K46" s="1315">
        <f t="shared" si="1"/>
        <v>70.8</v>
      </c>
      <c r="L46" s="1311">
        <v>694</v>
      </c>
      <c r="M46" s="1315">
        <f t="shared" si="2"/>
        <v>83.5</v>
      </c>
      <c r="N46" s="1311">
        <v>703</v>
      </c>
      <c r="O46" s="1315">
        <f t="shared" si="2"/>
        <v>84.6</v>
      </c>
      <c r="P46" s="1311">
        <v>699</v>
      </c>
      <c r="Q46" s="1315">
        <f t="shared" si="3"/>
        <v>84.1</v>
      </c>
      <c r="R46" s="1311">
        <v>639</v>
      </c>
      <c r="S46" s="1315">
        <f t="shared" si="4"/>
        <v>76.900000000000006</v>
      </c>
      <c r="T46" s="1311">
        <v>694</v>
      </c>
      <c r="U46" s="1315">
        <f t="shared" si="5"/>
        <v>83.5</v>
      </c>
      <c r="V46" s="1311">
        <v>568</v>
      </c>
      <c r="W46" s="1315">
        <f t="shared" si="6"/>
        <v>68.400000000000006</v>
      </c>
      <c r="X46" s="1311">
        <v>548</v>
      </c>
      <c r="Y46" s="1315">
        <f t="shared" si="7"/>
        <v>65.900000000000006</v>
      </c>
      <c r="Z46" s="1316">
        <v>517</v>
      </c>
      <c r="AA46" s="1315">
        <f t="shared" si="20"/>
        <v>83</v>
      </c>
      <c r="AB46" s="1310">
        <v>263</v>
      </c>
      <c r="AC46" s="1315">
        <f t="shared" si="21"/>
        <v>42.2</v>
      </c>
      <c r="AD46" s="1311">
        <v>700</v>
      </c>
      <c r="AE46" s="1315">
        <f t="shared" si="8"/>
        <v>84.2</v>
      </c>
      <c r="AF46" s="1311">
        <v>653</v>
      </c>
      <c r="AG46" s="1317">
        <f t="shared" si="9"/>
        <v>78.599999999999994</v>
      </c>
      <c r="AH46" s="1321">
        <v>862</v>
      </c>
      <c r="AI46" s="1314">
        <v>746</v>
      </c>
      <c r="AJ46" s="1315">
        <f t="shared" si="10"/>
        <v>86.5</v>
      </c>
      <c r="AK46" s="1316">
        <v>691</v>
      </c>
      <c r="AL46" s="1315">
        <f t="shared" si="22"/>
        <v>80.2</v>
      </c>
      <c r="AM46" s="1200">
        <v>765</v>
      </c>
      <c r="AN46" s="1315">
        <f t="shared" si="11"/>
        <v>88.7</v>
      </c>
      <c r="AO46" s="1311">
        <v>726</v>
      </c>
      <c r="AP46" s="1315">
        <f t="shared" si="12"/>
        <v>84.2</v>
      </c>
      <c r="AQ46" s="1322">
        <v>17</v>
      </c>
      <c r="AR46" s="1315">
        <f>AQ46/AH46*100</f>
        <v>1.9721577726218096</v>
      </c>
      <c r="AS46" s="1322">
        <v>31</v>
      </c>
      <c r="AT46" s="1322">
        <v>46</v>
      </c>
      <c r="AU46" s="1311">
        <v>751</v>
      </c>
      <c r="AV46" s="1315">
        <f t="shared" si="23"/>
        <v>87.1</v>
      </c>
      <c r="AW46" s="1311">
        <v>489</v>
      </c>
      <c r="AX46" s="1315">
        <f t="shared" si="13"/>
        <v>56.7</v>
      </c>
      <c r="AY46" s="1311">
        <v>490</v>
      </c>
      <c r="AZ46" s="1317">
        <f t="shared" si="14"/>
        <v>56.8</v>
      </c>
      <c r="BA46" s="1323">
        <v>822</v>
      </c>
      <c r="BB46" s="1311">
        <v>766</v>
      </c>
      <c r="BC46" s="1324">
        <f t="shared" si="15"/>
        <v>93.2</v>
      </c>
      <c r="BD46" s="1311">
        <v>767</v>
      </c>
      <c r="BE46" s="1324">
        <f t="shared" si="16"/>
        <v>93.3</v>
      </c>
      <c r="BF46" s="1311">
        <v>752</v>
      </c>
      <c r="BG46" s="1325">
        <f t="shared" si="17"/>
        <v>91.5</v>
      </c>
      <c r="BH46" s="1326">
        <v>160</v>
      </c>
      <c r="BI46" s="1311">
        <v>1140</v>
      </c>
      <c r="BJ46" s="1327">
        <v>311</v>
      </c>
      <c r="BK46" s="1326">
        <v>563</v>
      </c>
      <c r="BL46" s="1328">
        <f t="shared" si="19"/>
        <v>67.7</v>
      </c>
      <c r="BM46" s="1326">
        <v>501</v>
      </c>
      <c r="BN46" s="1311">
        <v>204</v>
      </c>
      <c r="BO46" s="1636">
        <v>15</v>
      </c>
      <c r="BP46" s="1309" t="s">
        <v>344</v>
      </c>
    </row>
    <row r="47" spans="1:68" s="1309" customFormat="1" ht="17.100000000000001" customHeight="1" thickBot="1" x14ac:dyDescent="0.3">
      <c r="A47" s="1411">
        <v>99</v>
      </c>
      <c r="B47" s="1332" t="s">
        <v>40</v>
      </c>
      <c r="C47" s="1333">
        <v>1821</v>
      </c>
      <c r="D47" s="1334">
        <v>1517</v>
      </c>
      <c r="E47" s="1335">
        <f t="shared" si="0"/>
        <v>83.3</v>
      </c>
      <c r="F47" s="1336">
        <v>791</v>
      </c>
      <c r="G47" s="1337">
        <f t="shared" si="0"/>
        <v>43.4</v>
      </c>
      <c r="H47" s="1338">
        <v>166</v>
      </c>
      <c r="I47" s="1339">
        <f t="shared" si="0"/>
        <v>9.1</v>
      </c>
      <c r="J47" s="1340">
        <v>957</v>
      </c>
      <c r="K47" s="1335">
        <f t="shared" si="1"/>
        <v>52.6</v>
      </c>
      <c r="L47" s="1341">
        <v>1780</v>
      </c>
      <c r="M47" s="1335">
        <f t="shared" si="2"/>
        <v>97.7</v>
      </c>
      <c r="N47" s="1341">
        <v>1099</v>
      </c>
      <c r="O47" s="1335">
        <f t="shared" si="2"/>
        <v>60.4</v>
      </c>
      <c r="P47" s="1341">
        <v>1774</v>
      </c>
      <c r="Q47" s="1335">
        <f t="shared" si="3"/>
        <v>97.4</v>
      </c>
      <c r="R47" s="1341">
        <v>1475</v>
      </c>
      <c r="S47" s="1335">
        <f t="shared" si="4"/>
        <v>81</v>
      </c>
      <c r="T47" s="1341">
        <v>1099</v>
      </c>
      <c r="U47" s="1335">
        <f t="shared" si="5"/>
        <v>60.4</v>
      </c>
      <c r="V47" s="1341">
        <v>1199</v>
      </c>
      <c r="W47" s="1335">
        <f t="shared" si="6"/>
        <v>65.8</v>
      </c>
      <c r="X47" s="1341">
        <v>1134</v>
      </c>
      <c r="Y47" s="1335">
        <f t="shared" si="7"/>
        <v>62.3</v>
      </c>
      <c r="Z47" s="1336">
        <v>1079</v>
      </c>
      <c r="AA47" s="1335">
        <f t="shared" si="20"/>
        <v>79</v>
      </c>
      <c r="AB47" s="1342">
        <v>641</v>
      </c>
      <c r="AC47" s="1335">
        <f t="shared" si="21"/>
        <v>46.9</v>
      </c>
      <c r="AD47" s="1341">
        <v>1802</v>
      </c>
      <c r="AE47" s="1335">
        <f t="shared" si="8"/>
        <v>99</v>
      </c>
      <c r="AF47" s="1341">
        <v>1407</v>
      </c>
      <c r="AG47" s="1337">
        <f t="shared" si="9"/>
        <v>77.3</v>
      </c>
      <c r="AH47" s="1343">
        <v>1871</v>
      </c>
      <c r="AI47" s="1334">
        <v>1665</v>
      </c>
      <c r="AJ47" s="1335">
        <f t="shared" si="10"/>
        <v>89</v>
      </c>
      <c r="AK47" s="1336">
        <v>1409</v>
      </c>
      <c r="AL47" s="1335">
        <f t="shared" si="22"/>
        <v>75.3</v>
      </c>
      <c r="AM47" s="1220">
        <v>2081</v>
      </c>
      <c r="AN47" s="1335">
        <f t="shared" si="11"/>
        <v>111.2</v>
      </c>
      <c r="AO47" s="1341">
        <v>1334</v>
      </c>
      <c r="AP47" s="1335">
        <f t="shared" si="12"/>
        <v>71.3</v>
      </c>
      <c r="AQ47" s="1344">
        <v>129</v>
      </c>
      <c r="AR47" s="1335">
        <f>AQ47/AH47*100</f>
        <v>6.8947087119187591</v>
      </c>
      <c r="AS47" s="1344">
        <v>208</v>
      </c>
      <c r="AT47" s="1344">
        <v>88</v>
      </c>
      <c r="AU47" s="1341">
        <v>1605</v>
      </c>
      <c r="AV47" s="1335">
        <f t="shared" si="23"/>
        <v>85.8</v>
      </c>
      <c r="AW47" s="1341">
        <v>917</v>
      </c>
      <c r="AX47" s="1335">
        <f t="shared" si="13"/>
        <v>49</v>
      </c>
      <c r="AY47" s="1341">
        <v>908</v>
      </c>
      <c r="AZ47" s="1337">
        <f t="shared" si="14"/>
        <v>48.5</v>
      </c>
      <c r="BA47" s="1345">
        <v>1841</v>
      </c>
      <c r="BB47" s="1341">
        <v>1254</v>
      </c>
      <c r="BC47" s="1346">
        <f t="shared" si="15"/>
        <v>68.099999999999994</v>
      </c>
      <c r="BD47" s="1341">
        <v>1243</v>
      </c>
      <c r="BE47" s="1346">
        <f t="shared" si="16"/>
        <v>67.5</v>
      </c>
      <c r="BF47" s="1341">
        <v>1161</v>
      </c>
      <c r="BG47" s="1347">
        <f t="shared" si="17"/>
        <v>63.1</v>
      </c>
      <c r="BH47" s="1348">
        <v>256</v>
      </c>
      <c r="BI47" s="1341">
        <v>1124</v>
      </c>
      <c r="BJ47" s="1349">
        <v>678</v>
      </c>
      <c r="BK47" s="1348">
        <v>1031</v>
      </c>
      <c r="BL47" s="1350">
        <f t="shared" si="19"/>
        <v>56.6</v>
      </c>
      <c r="BM47" s="1348">
        <v>379</v>
      </c>
      <c r="BN47" s="1341">
        <v>103</v>
      </c>
      <c r="BO47" s="1637">
        <v>6</v>
      </c>
      <c r="BP47" s="1309" t="s">
        <v>346</v>
      </c>
    </row>
    <row r="48" spans="1:68" s="1309" customFormat="1" ht="4.5" customHeight="1" thickBot="1" x14ac:dyDescent="0.3"/>
    <row r="49" spans="2:68" s="1309" customFormat="1" ht="20.100000000000001" customHeight="1" thickBot="1" x14ac:dyDescent="0.3">
      <c r="B49" s="1638" t="s">
        <v>41</v>
      </c>
      <c r="C49" s="1639">
        <f>SUM(C11:C47)</f>
        <v>724770</v>
      </c>
      <c r="D49" s="1351">
        <f>SUM(D11:D47)</f>
        <v>663031</v>
      </c>
      <c r="E49" s="1352">
        <f t="shared" si="0"/>
        <v>91.5</v>
      </c>
      <c r="F49" s="1351">
        <f>SUM(F11:F47)</f>
        <v>585915</v>
      </c>
      <c r="G49" s="1352">
        <f t="shared" si="0"/>
        <v>80.8</v>
      </c>
      <c r="H49" s="1351">
        <f>SUM(H11:H47)</f>
        <v>60469</v>
      </c>
      <c r="I49" s="1352">
        <f t="shared" si="0"/>
        <v>8.3000000000000007</v>
      </c>
      <c r="J49" s="1351">
        <f>SUM(J11:J47)</f>
        <v>646960</v>
      </c>
      <c r="K49" s="1352">
        <f t="shared" si="1"/>
        <v>89.3</v>
      </c>
      <c r="L49" s="1351">
        <f>SUM(L11:L47)</f>
        <v>678850</v>
      </c>
      <c r="M49" s="1352">
        <f t="shared" si="2"/>
        <v>93.7</v>
      </c>
      <c r="N49" s="1351">
        <f>SUM(N11:N47)</f>
        <v>664521</v>
      </c>
      <c r="O49" s="1352">
        <f t="shared" si="2"/>
        <v>91.7</v>
      </c>
      <c r="P49" s="1351">
        <f>SUM(P11:P47)</f>
        <v>679719</v>
      </c>
      <c r="Q49" s="1352">
        <f t="shared" si="3"/>
        <v>93.8</v>
      </c>
      <c r="R49" s="1351">
        <f>SUM(R11:R47)</f>
        <v>672621</v>
      </c>
      <c r="S49" s="1352">
        <f t="shared" si="4"/>
        <v>92.8</v>
      </c>
      <c r="T49" s="1351">
        <f>SUM(T11:T47)</f>
        <v>663850</v>
      </c>
      <c r="U49" s="1352">
        <f t="shared" si="5"/>
        <v>91.6</v>
      </c>
      <c r="V49" s="1351">
        <f>SUM(V11:V47)</f>
        <v>654792</v>
      </c>
      <c r="W49" s="1352">
        <f t="shared" si="6"/>
        <v>90.3</v>
      </c>
      <c r="X49" s="1351">
        <f>SUM(X11:X47)</f>
        <v>650073</v>
      </c>
      <c r="Y49" s="1352">
        <f t="shared" si="7"/>
        <v>89.7</v>
      </c>
      <c r="Z49" s="1351">
        <f>SUM(Z11:Z47)</f>
        <v>543475</v>
      </c>
      <c r="AA49" s="1352">
        <f t="shared" si="20"/>
        <v>100</v>
      </c>
      <c r="AB49" s="1351">
        <f>SUM(AB11:AB47)</f>
        <v>384411</v>
      </c>
      <c r="AC49" s="1352">
        <f t="shared" si="21"/>
        <v>70.7</v>
      </c>
      <c r="AD49" s="1351">
        <f>SUM(AD11:AD47)</f>
        <v>680478</v>
      </c>
      <c r="AE49" s="1352">
        <f t="shared" si="8"/>
        <v>93.9</v>
      </c>
      <c r="AF49" s="1351">
        <f>SUM(AF11:AF47)</f>
        <v>674196</v>
      </c>
      <c r="AG49" s="1352">
        <f t="shared" si="9"/>
        <v>93</v>
      </c>
      <c r="AH49" s="1353">
        <f>SUM(AH11:AH47)</f>
        <v>735492</v>
      </c>
      <c r="AI49" s="1351">
        <f>SUM(AI11:AI47)</f>
        <v>684541</v>
      </c>
      <c r="AJ49" s="1352">
        <f t="shared" si="10"/>
        <v>93.1</v>
      </c>
      <c r="AK49" s="1351">
        <f>SUM(AK11:AK47)</f>
        <v>675163</v>
      </c>
      <c r="AL49" s="1352">
        <f t="shared" si="10"/>
        <v>91.8</v>
      </c>
      <c r="AM49" s="1351">
        <f>SUM(AM11:AM47)</f>
        <v>645103</v>
      </c>
      <c r="AN49" s="1352">
        <f t="shared" si="11"/>
        <v>87.7</v>
      </c>
      <c r="AO49" s="1351">
        <f>SUM(AO11:AO47)</f>
        <v>672018</v>
      </c>
      <c r="AP49" s="1352">
        <f t="shared" si="12"/>
        <v>91.4</v>
      </c>
      <c r="AQ49" s="1351">
        <f>SUM(AQ11:AQ47)</f>
        <v>9129</v>
      </c>
      <c r="AR49" s="1352">
        <f>AQ49/AH49*100</f>
        <v>1.2412099655740647</v>
      </c>
      <c r="AS49" s="1351">
        <f>SUM(AS11:AS47)</f>
        <v>10570</v>
      </c>
      <c r="AT49" s="1351">
        <f>SUM(AT11:AT47)</f>
        <v>14526</v>
      </c>
      <c r="AU49" s="1351">
        <f>SUM(AU11:AU47)</f>
        <v>672535</v>
      </c>
      <c r="AV49" s="1352">
        <f>ROUND(AU49/$AH49*100,1)</f>
        <v>91.4</v>
      </c>
      <c r="AW49" s="1351">
        <f>SUM(AW11:AW47)</f>
        <v>632526</v>
      </c>
      <c r="AX49" s="1352">
        <f t="shared" si="13"/>
        <v>86</v>
      </c>
      <c r="AY49" s="1351">
        <f>SUM(AY11:AY47)</f>
        <v>633234</v>
      </c>
      <c r="AZ49" s="1352">
        <f t="shared" si="14"/>
        <v>86.1</v>
      </c>
      <c r="BA49" s="1354">
        <f>SUM(BA11:BA47)</f>
        <v>753495</v>
      </c>
      <c r="BB49" s="1351">
        <f>SUM(BB11:BB47)</f>
        <v>676800</v>
      </c>
      <c r="BC49" s="1355">
        <f t="shared" si="15"/>
        <v>89.8</v>
      </c>
      <c r="BD49" s="1351">
        <f>SUM(BD11:BD47)</f>
        <v>677858</v>
      </c>
      <c r="BE49" s="1355">
        <f t="shared" si="16"/>
        <v>90</v>
      </c>
      <c r="BF49" s="1351">
        <f>SUM(BF11:BF47)</f>
        <v>673455</v>
      </c>
      <c r="BG49" s="1355">
        <f t="shared" si="17"/>
        <v>89.4</v>
      </c>
      <c r="BH49" s="1356">
        <f>SUM(BH11:BH47)</f>
        <v>355169</v>
      </c>
      <c r="BI49" s="1356">
        <f>SUM(BI11:BI47)</f>
        <v>1264868</v>
      </c>
      <c r="BJ49" s="1357">
        <f>SUM(BJ11:BJ47)</f>
        <v>435915</v>
      </c>
      <c r="BK49" s="1358">
        <f>SUM(BK11:BK47)</f>
        <v>578171</v>
      </c>
      <c r="BL49" s="1359">
        <f t="shared" si="19"/>
        <v>79.8</v>
      </c>
      <c r="BM49" s="1360">
        <f t="shared" ref="BM49:BO49" si="24">SUM(BM11:BM47)</f>
        <v>138232</v>
      </c>
      <c r="BN49" s="1360">
        <f t="shared" si="24"/>
        <v>69870</v>
      </c>
      <c r="BO49" s="1640">
        <f t="shared" si="24"/>
        <v>7017</v>
      </c>
      <c r="BP49" s="1361"/>
    </row>
    <row r="50" spans="2:68" x14ac:dyDescent="0.3">
      <c r="B50" s="1363" t="s">
        <v>227</v>
      </c>
      <c r="D50" s="1364"/>
      <c r="E50" s="1365">
        <f>E49-$B$61</f>
        <v>-8.4599999999999937</v>
      </c>
      <c r="F50" s="1365"/>
      <c r="G50" s="1365"/>
      <c r="H50" s="1365"/>
      <c r="I50" s="1365"/>
      <c r="J50" s="1365"/>
      <c r="K50" s="1365">
        <f>K49-$B$61</f>
        <v>-10.659999999999997</v>
      </c>
      <c r="O50" s="1365">
        <f>O49-$B$61</f>
        <v>-8.2599999999999909</v>
      </c>
      <c r="P50" s="1364"/>
      <c r="Q50" s="1365">
        <f>Q49-$B$61</f>
        <v>-6.1599999999999966</v>
      </c>
      <c r="R50" s="1364"/>
      <c r="S50" s="1365">
        <f>S49-$B$61</f>
        <v>-7.1599999999999966</v>
      </c>
      <c r="T50" s="1364"/>
      <c r="U50" s="1365">
        <f>U49-$B$61</f>
        <v>-8.36</v>
      </c>
      <c r="V50" s="1364"/>
      <c r="W50" s="1365">
        <f>W49-$B$61</f>
        <v>-9.6599999999999966</v>
      </c>
      <c r="X50" s="1364"/>
      <c r="Y50" s="1365">
        <f>Y49-$B$61</f>
        <v>-10.259999999999991</v>
      </c>
      <c r="Z50" s="1365"/>
      <c r="AA50" s="1365"/>
      <c r="AB50" s="1365"/>
      <c r="AC50" s="1365"/>
      <c r="AD50" s="1364"/>
      <c r="AE50" s="1365">
        <f>AE49-$B$61</f>
        <v>-6.0599999999999881</v>
      </c>
      <c r="AF50" s="1364"/>
      <c r="AG50" s="1365">
        <f>AG49-$B$61</f>
        <v>-6.9599999999999937</v>
      </c>
      <c r="AH50" s="1364"/>
      <c r="AI50" s="1364"/>
      <c r="AJ50" s="1365">
        <f>AJ49-$B$61</f>
        <v>-6.8599999999999994</v>
      </c>
      <c r="AK50" s="1365"/>
      <c r="AL50" s="1365"/>
      <c r="AM50" s="1364"/>
      <c r="AN50" s="1365">
        <f>AN49-$B$61</f>
        <v>-12.259999999999991</v>
      </c>
      <c r="AO50" s="1364"/>
      <c r="AP50" s="1365">
        <f>AP49-$B$61</f>
        <v>-8.5599999999999881</v>
      </c>
      <c r="AR50" s="1366"/>
      <c r="AX50" s="1365">
        <f>AX49-$B$61</f>
        <v>-13.959999999999994</v>
      </c>
      <c r="AZ50" s="1365">
        <f>AZ49-$B$61</f>
        <v>-13.86</v>
      </c>
      <c r="BC50" s="1365">
        <f>BC49-$B$61</f>
        <v>-10.159999999999997</v>
      </c>
      <c r="BE50" s="1365">
        <f>BE49-$B$61</f>
        <v>-9.9599999999999937</v>
      </c>
      <c r="BG50" s="1365">
        <f>BG49-$B$61</f>
        <v>-10.559999999999988</v>
      </c>
      <c r="BH50" s="1365"/>
    </row>
    <row r="51" spans="2:68" x14ac:dyDescent="0.3">
      <c r="B51" s="1367" t="s">
        <v>228</v>
      </c>
      <c r="C51" s="1368">
        <v>43070</v>
      </c>
      <c r="D51" s="1369">
        <v>12</v>
      </c>
      <c r="M51" s="1370"/>
      <c r="O51" s="1371"/>
    </row>
    <row r="52" spans="2:68" x14ac:dyDescent="0.3">
      <c r="B52" s="1362" t="s">
        <v>229</v>
      </c>
      <c r="C52" s="1370">
        <v>43196</v>
      </c>
      <c r="D52" s="1309"/>
      <c r="E52" s="1309">
        <f>ROUND((E49/$D$51)*12,1)</f>
        <v>91.5</v>
      </c>
      <c r="F52" s="1309"/>
      <c r="G52" s="1309"/>
      <c r="H52" s="1309"/>
      <c r="I52" s="1309"/>
      <c r="J52" s="1309"/>
      <c r="K52" s="1309"/>
      <c r="M52" s="1370"/>
      <c r="O52" s="1309">
        <f>ROUND((O49/$D$51)*12,1)</f>
        <v>91.7</v>
      </c>
      <c r="P52" s="1309"/>
      <c r="Q52" s="1309"/>
      <c r="R52" s="1309"/>
      <c r="S52" s="1309"/>
      <c r="T52" s="1372">
        <f>ROUND((T49/$D$51)*12,0)</f>
        <v>663850</v>
      </c>
      <c r="U52" s="1309">
        <f>ROUND((U49/$D$51)*12,1)</f>
        <v>91.6</v>
      </c>
      <c r="V52" s="1309"/>
      <c r="W52" s="1309"/>
      <c r="X52" s="1309"/>
      <c r="Y52" s="1309"/>
      <c r="Z52" s="1309"/>
      <c r="AA52" s="1309"/>
      <c r="AB52" s="1309"/>
      <c r="AC52" s="1309"/>
      <c r="AD52" s="1309"/>
      <c r="AE52" s="1309"/>
      <c r="AF52" s="1309"/>
      <c r="AG52" s="1309"/>
      <c r="AH52" s="1309"/>
      <c r="AI52" s="1372">
        <f>ROUND((AI49/$D$51)*12,0)</f>
        <v>684541</v>
      </c>
      <c r="AJ52" s="1373">
        <f>ROUND((AJ49/$D$51)*12,1)</f>
        <v>93.1</v>
      </c>
      <c r="AK52" s="1373"/>
      <c r="AL52" s="1373"/>
      <c r="AM52" s="1309"/>
      <c r="AN52" s="1309">
        <f>ROUND((AN49/$D$51)*12,1)</f>
        <v>87.7</v>
      </c>
      <c r="AO52" s="1309"/>
      <c r="AP52" s="1309"/>
      <c r="AQ52" s="1309"/>
      <c r="AR52" s="1309"/>
      <c r="AS52" s="1309"/>
      <c r="AT52" s="1309"/>
      <c r="AU52" s="1309"/>
      <c r="AV52" s="1309">
        <f>ROUND((AV49/$D$51)*12,1)</f>
        <v>91.4</v>
      </c>
      <c r="BG52" s="1309">
        <f>ROUND((BG49/$D$51)*12,1)</f>
        <v>89.4</v>
      </c>
    </row>
    <row r="53" spans="2:68" x14ac:dyDescent="0.3">
      <c r="B53" s="1374" t="s">
        <v>55</v>
      </c>
      <c r="C53" s="1253"/>
      <c r="M53" s="1253"/>
    </row>
    <row r="54" spans="2:68" x14ac:dyDescent="0.3">
      <c r="B54" s="1254" t="s">
        <v>479</v>
      </c>
      <c r="C54" s="1375">
        <v>100</v>
      </c>
      <c r="D54" s="1376"/>
      <c r="M54" s="1375"/>
    </row>
    <row r="55" spans="2:68" x14ac:dyDescent="0.3">
      <c r="B55" s="1257" t="s">
        <v>335</v>
      </c>
      <c r="C55" s="1375">
        <v>95</v>
      </c>
      <c r="D55" s="1375">
        <v>99.99</v>
      </c>
      <c r="G55" s="1377" t="s">
        <v>474</v>
      </c>
      <c r="L55" s="1375"/>
      <c r="M55" s="1375"/>
    </row>
    <row r="56" spans="2:68" x14ac:dyDescent="0.3">
      <c r="B56" s="1258" t="s">
        <v>240</v>
      </c>
      <c r="C56" s="1375">
        <v>90</v>
      </c>
      <c r="D56" s="1375">
        <v>94.99</v>
      </c>
      <c r="L56" s="1375"/>
      <c r="M56" s="1375"/>
    </row>
    <row r="57" spans="2:68" x14ac:dyDescent="0.3">
      <c r="B57" s="1259" t="s">
        <v>241</v>
      </c>
      <c r="C57" s="1375">
        <v>80</v>
      </c>
      <c r="D57" s="1375">
        <v>89.99</v>
      </c>
      <c r="L57" s="1375"/>
      <c r="M57" s="1375"/>
      <c r="P57" s="1362" t="s">
        <v>475</v>
      </c>
      <c r="R57" s="1362" t="s">
        <v>476</v>
      </c>
    </row>
    <row r="58" spans="2:68" ht="18.75" customHeight="1" x14ac:dyDescent="0.3">
      <c r="B58" s="1260" t="s">
        <v>242</v>
      </c>
      <c r="C58" s="1375">
        <v>50</v>
      </c>
      <c r="D58" s="1375">
        <v>79.989999999999995</v>
      </c>
      <c r="L58" s="1375"/>
      <c r="M58" s="1375"/>
      <c r="O58" s="1378" t="s">
        <v>353</v>
      </c>
      <c r="P58" s="1379">
        <f>E49</f>
        <v>91.5</v>
      </c>
      <c r="R58" s="1380">
        <f>E71</f>
        <v>91.5</v>
      </c>
    </row>
    <row r="59" spans="2:68" ht="15.75" customHeight="1" x14ac:dyDescent="0.3">
      <c r="B59" s="1261" t="s">
        <v>464</v>
      </c>
      <c r="C59" s="1375">
        <v>0.1</v>
      </c>
      <c r="D59" s="1375">
        <v>49.99</v>
      </c>
      <c r="L59" s="1375"/>
      <c r="M59" s="1381"/>
      <c r="O59" s="1382" t="s">
        <v>226</v>
      </c>
      <c r="P59" s="1379">
        <f>K49</f>
        <v>89.3</v>
      </c>
      <c r="R59" s="1380">
        <f>K71</f>
        <v>89.3</v>
      </c>
    </row>
    <row r="60" spans="2:68" ht="15" customHeight="1" x14ac:dyDescent="0.3">
      <c r="B60" s="1383" t="s">
        <v>244</v>
      </c>
      <c r="C60" s="1384"/>
      <c r="D60" s="1385"/>
      <c r="L60" s="1386"/>
      <c r="M60" s="1386"/>
      <c r="O60" s="1277" t="s">
        <v>349</v>
      </c>
      <c r="P60" s="1379">
        <f>M49</f>
        <v>93.7</v>
      </c>
      <c r="R60" s="1380">
        <f>M71</f>
        <v>93.7</v>
      </c>
    </row>
    <row r="61" spans="2:68" ht="15" customHeight="1" x14ac:dyDescent="0.3">
      <c r="B61" s="1267">
        <v>99.96</v>
      </c>
      <c r="C61" s="1387"/>
      <c r="D61" s="1387"/>
      <c r="O61" s="1388" t="s">
        <v>350</v>
      </c>
      <c r="P61" s="1379">
        <f>O49</f>
        <v>91.7</v>
      </c>
      <c r="R61" s="1380">
        <f>O71</f>
        <v>91.7</v>
      </c>
    </row>
    <row r="62" spans="2:68" x14ac:dyDescent="0.3">
      <c r="B62" s="1389">
        <v>95</v>
      </c>
      <c r="O62" s="1390" t="s">
        <v>351</v>
      </c>
      <c r="P62" s="1379">
        <f>U49</f>
        <v>91.6</v>
      </c>
      <c r="R62" s="1380">
        <f>U71</f>
        <v>91.6</v>
      </c>
    </row>
    <row r="63" spans="2:68" x14ac:dyDescent="0.3">
      <c r="B63" s="1371"/>
      <c r="O63" s="1391" t="s">
        <v>456</v>
      </c>
      <c r="P63" s="1379">
        <f>AG49</f>
        <v>93</v>
      </c>
      <c r="R63" s="1380">
        <f>AG71</f>
        <v>93</v>
      </c>
    </row>
    <row r="64" spans="2:68" x14ac:dyDescent="0.3">
      <c r="C64" s="1392"/>
      <c r="O64" s="1393" t="s">
        <v>457</v>
      </c>
      <c r="P64" s="1379">
        <f>AJ49</f>
        <v>93.1</v>
      </c>
      <c r="R64" s="1380">
        <f>AJ71</f>
        <v>93.1</v>
      </c>
      <c r="T64" s="1857"/>
      <c r="U64" s="1858"/>
      <c r="AH64" s="1857"/>
      <c r="AI64" s="1857"/>
      <c r="AJ64" s="1859"/>
      <c r="AK64" s="1394"/>
      <c r="AL64" s="1394"/>
    </row>
    <row r="65" spans="1:68" x14ac:dyDescent="0.3">
      <c r="C65" s="1392"/>
      <c r="O65" s="1395" t="s">
        <v>459</v>
      </c>
      <c r="P65" s="1379">
        <f>AP49</f>
        <v>91.4</v>
      </c>
      <c r="R65" s="1380">
        <f>AP71</f>
        <v>91.4</v>
      </c>
      <c r="T65" s="1857"/>
      <c r="U65" s="1858"/>
      <c r="AH65" s="1857"/>
      <c r="AI65" s="1857"/>
      <c r="AJ65" s="1859"/>
      <c r="AK65" s="1394"/>
      <c r="AL65" s="1394"/>
    </row>
    <row r="66" spans="1:68" x14ac:dyDescent="0.3">
      <c r="C66" s="1392"/>
      <c r="O66" s="1396" t="s">
        <v>458</v>
      </c>
      <c r="P66" s="1379">
        <f>AV49</f>
        <v>91.4</v>
      </c>
      <c r="R66" s="1380">
        <f>AV71</f>
        <v>91.4</v>
      </c>
      <c r="T66" s="1857"/>
      <c r="U66" s="1858"/>
      <c r="AH66" s="1857"/>
      <c r="AI66" s="1857"/>
      <c r="AJ66" s="1859"/>
      <c r="AK66" s="1394"/>
      <c r="AL66" s="1394"/>
    </row>
    <row r="67" spans="1:68" x14ac:dyDescent="0.3">
      <c r="C67" s="1392"/>
      <c r="O67" s="1397" t="s">
        <v>460</v>
      </c>
      <c r="P67" s="1379">
        <f>BG49</f>
        <v>89.4</v>
      </c>
      <c r="R67" s="1380">
        <f>BG71</f>
        <v>89.4</v>
      </c>
      <c r="T67" s="1857"/>
      <c r="U67" s="1858"/>
      <c r="AH67" s="1857"/>
      <c r="AI67" s="1857"/>
      <c r="AJ67" s="1859"/>
      <c r="AK67" s="1394"/>
      <c r="AL67" s="1394"/>
    </row>
    <row r="68" spans="1:68" ht="36" x14ac:dyDescent="0.3">
      <c r="O68" s="1398" t="s">
        <v>477</v>
      </c>
      <c r="P68" s="1379">
        <f>B62</f>
        <v>95</v>
      </c>
      <c r="R68" s="1380">
        <f>P68</f>
        <v>95</v>
      </c>
    </row>
    <row r="70" spans="1:68" ht="23.25" customHeight="1" x14ac:dyDescent="0.3">
      <c r="A70" s="1399"/>
      <c r="B70" s="1399"/>
      <c r="C70" s="1399"/>
      <c r="D70" s="1399"/>
      <c r="E70" s="1400">
        <f>E49</f>
        <v>91.5</v>
      </c>
      <c r="F70" s="1399"/>
      <c r="G70" s="1399"/>
      <c r="H70" s="1399"/>
      <c r="I70" s="1399"/>
      <c r="J70" s="1399"/>
      <c r="K70" s="1400">
        <f>K49</f>
        <v>89.3</v>
      </c>
      <c r="L70" s="1399"/>
      <c r="M70" s="1400">
        <f>M49</f>
        <v>93.7</v>
      </c>
      <c r="N70" s="1399"/>
      <c r="O70" s="1400">
        <f>O49</f>
        <v>91.7</v>
      </c>
      <c r="P70" s="1399"/>
      <c r="Q70" s="1399"/>
      <c r="R70" s="1399"/>
      <c r="S70" s="1399"/>
      <c r="T70" s="1399"/>
      <c r="U70" s="1401">
        <f>U49</f>
        <v>91.6</v>
      </c>
      <c r="V70" s="1399"/>
      <c r="W70" s="1399"/>
      <c r="X70" s="1399"/>
      <c r="Y70" s="1401">
        <f>Y49</f>
        <v>89.7</v>
      </c>
      <c r="Z70" s="1399"/>
      <c r="AA70" s="1399"/>
      <c r="AB70" s="1399"/>
      <c r="AC70" s="1399"/>
      <c r="AD70" s="1399"/>
      <c r="AE70" s="1399"/>
      <c r="AF70" s="1399"/>
      <c r="AG70" s="1401">
        <f>AG49</f>
        <v>93</v>
      </c>
      <c r="AH70" s="1399"/>
      <c r="AI70" s="1399"/>
      <c r="AJ70" s="1401">
        <f>AJ49</f>
        <v>93.1</v>
      </c>
      <c r="AK70" s="1399"/>
      <c r="AL70" s="1399"/>
      <c r="AM70" s="1399"/>
      <c r="AN70" s="1399"/>
      <c r="AO70" s="1399"/>
      <c r="AP70" s="1399"/>
      <c r="AQ70" s="1399"/>
      <c r="AR70" s="1401"/>
      <c r="AS70" s="1399"/>
      <c r="AT70" s="1399"/>
      <c r="AU70" s="1399"/>
      <c r="AV70" s="1401">
        <f>AV49</f>
        <v>91.4</v>
      </c>
      <c r="AW70" s="1399"/>
      <c r="AX70" s="1401">
        <f>AX49</f>
        <v>86</v>
      </c>
      <c r="AY70" s="1399"/>
      <c r="AZ70" s="1401">
        <f>AZ49</f>
        <v>86.1</v>
      </c>
      <c r="BA70" s="1399"/>
      <c r="BB70" s="1399"/>
      <c r="BC70" s="1399"/>
      <c r="BD70" s="1399"/>
      <c r="BE70" s="1401">
        <f>BE49</f>
        <v>90</v>
      </c>
      <c r="BF70" s="1399"/>
      <c r="BG70" s="1401">
        <f>BG49</f>
        <v>89.4</v>
      </c>
      <c r="BH70" s="1399"/>
      <c r="BI70" s="1399"/>
      <c r="BJ70" s="1399"/>
      <c r="BK70" s="1399"/>
      <c r="BL70" s="1399"/>
      <c r="BM70" s="1399"/>
      <c r="BN70" s="1399"/>
      <c r="BO70" s="1399"/>
      <c r="BP70" s="1399"/>
    </row>
    <row r="71" spans="1:68" ht="16.5" customHeight="1" x14ac:dyDescent="0.3">
      <c r="A71" s="1399"/>
      <c r="B71" s="1399"/>
      <c r="C71" s="1402">
        <f>SUBTOTAL(9,C11:C47)</f>
        <v>724770</v>
      </c>
      <c r="D71" s="1402">
        <f>SUBTOTAL(9,D11:D47)</f>
        <v>663031</v>
      </c>
      <c r="E71" s="1403">
        <f>ROUND(D71/$C71*100,1)</f>
        <v>91.5</v>
      </c>
      <c r="F71" s="1404">
        <f>SUBTOTAL(9,F11:F47)</f>
        <v>585915</v>
      </c>
      <c r="G71" s="1403">
        <f>ROUND(F71/$C71*100,1)</f>
        <v>80.8</v>
      </c>
      <c r="H71" s="1404">
        <f>SUBTOTAL(9,H11:H47)</f>
        <v>60469</v>
      </c>
      <c r="I71" s="1403">
        <f>ROUND(H71/$C71*100,1)</f>
        <v>8.3000000000000007</v>
      </c>
      <c r="J71" s="1404">
        <f>SUBTOTAL(9,J11:J47)</f>
        <v>646960</v>
      </c>
      <c r="K71" s="1403">
        <f>ROUND(J71/$C71*100,1)</f>
        <v>89.3</v>
      </c>
      <c r="L71" s="1404">
        <f>SUBTOTAL(9,L11:L47)</f>
        <v>678850</v>
      </c>
      <c r="M71" s="1403">
        <f>ROUND(L71/$C71*100,1)</f>
        <v>93.7</v>
      </c>
      <c r="N71" s="1404">
        <f>SUBTOTAL(9,N11:N47)</f>
        <v>664521</v>
      </c>
      <c r="O71" s="1403">
        <f>ROUND(N71/$C71*100,1)</f>
        <v>91.7</v>
      </c>
      <c r="P71" s="1404">
        <f>SUBTOTAL(9,P11:P47)</f>
        <v>679719</v>
      </c>
      <c r="Q71" s="1403">
        <f>ROUND(P71/$C71*100,1)</f>
        <v>93.8</v>
      </c>
      <c r="R71" s="1404">
        <f>SUBTOTAL(9,R11:R47)</f>
        <v>672621</v>
      </c>
      <c r="S71" s="1403">
        <f>ROUND(R71/$C71*100,1)</f>
        <v>92.8</v>
      </c>
      <c r="T71" s="1404">
        <f>SUBTOTAL(9,T11:T47)</f>
        <v>663850</v>
      </c>
      <c r="U71" s="1403">
        <f>ROUND(T71/$C71*100,1)</f>
        <v>91.6</v>
      </c>
      <c r="V71" s="1404">
        <f>SUBTOTAL(9,V11:V47)</f>
        <v>654792</v>
      </c>
      <c r="W71" s="1403">
        <f t="shared" ref="W71" si="25">ROUND(V71/C71*100,1)</f>
        <v>90.3</v>
      </c>
      <c r="X71" s="1404">
        <f>SUBTOTAL(9,X11:X47)</f>
        <v>650073</v>
      </c>
      <c r="Y71" s="1403">
        <f>ROUND(X71/$C71*100,1)</f>
        <v>89.7</v>
      </c>
      <c r="Z71" s="1404">
        <f>SUBTOTAL(9,Z11:Z47)</f>
        <v>543475</v>
      </c>
      <c r="AA71" s="1403">
        <f>ROUND(Z71/($C71/12*9)*100,1)</f>
        <v>100</v>
      </c>
      <c r="AB71" s="1404">
        <f>SUBTOTAL(9,AB11:AB47)</f>
        <v>384411</v>
      </c>
      <c r="AC71" s="1403">
        <f>ROUND(AB71/($C71/12*9)*100,1)</f>
        <v>70.7</v>
      </c>
      <c r="AD71" s="1404">
        <f>SUBTOTAL(9,AD11:AD47)</f>
        <v>680478</v>
      </c>
      <c r="AE71" s="1403">
        <f>ROUND(AD71/$C71*100,1)</f>
        <v>93.9</v>
      </c>
      <c r="AF71" s="1404">
        <f>SUBTOTAL(9,AF11:AF47)</f>
        <v>674196</v>
      </c>
      <c r="AG71" s="1403">
        <f>ROUND(AF71/$C71*100,1)</f>
        <v>93</v>
      </c>
      <c r="AH71" s="1404">
        <f>SUBTOTAL(9,AH11:AH47)</f>
        <v>735492</v>
      </c>
      <c r="AI71" s="1404">
        <f>SUBTOTAL(9,AI11:AI47)</f>
        <v>684541</v>
      </c>
      <c r="AJ71" s="1403">
        <f>ROUND(AI71/$AH71*100,1)</f>
        <v>93.1</v>
      </c>
      <c r="AK71" s="1404">
        <f>SUBTOTAL(9,AK11:AK47)</f>
        <v>675163</v>
      </c>
      <c r="AL71" s="1403">
        <f>ROUND(AK71/$AH71*100,1)</f>
        <v>91.8</v>
      </c>
      <c r="AM71" s="1404">
        <f>SUBTOTAL(9,AM11:AM47)</f>
        <v>645103</v>
      </c>
      <c r="AN71" s="1403">
        <f>ROUND(AM71/$AH71*100,1)</f>
        <v>87.7</v>
      </c>
      <c r="AO71" s="1404">
        <f>SUBTOTAL(9,AO11:AO47)</f>
        <v>672018</v>
      </c>
      <c r="AP71" s="1403">
        <f>ROUND(AO71/$AH71*100,1)</f>
        <v>91.4</v>
      </c>
      <c r="AQ71" s="1404">
        <f>SUBTOTAL(9,AQ11:AQ47)</f>
        <v>9129</v>
      </c>
      <c r="AR71" s="1403">
        <f>AQ71/AH71*100</f>
        <v>1.2412099655740647</v>
      </c>
      <c r="AS71" s="1404">
        <f>SUBTOTAL(9,AS11:AS47)</f>
        <v>10570</v>
      </c>
      <c r="AT71" s="1404">
        <f>SUBTOTAL(9,AT11:AT47)</f>
        <v>14526</v>
      </c>
      <c r="AU71" s="1404">
        <f>SUBTOTAL(9,AU11:AU47)</f>
        <v>672535</v>
      </c>
      <c r="AV71" s="1403">
        <f>ROUND(AU71/$AH71*100,1)</f>
        <v>91.4</v>
      </c>
      <c r="AW71" s="1404">
        <f>SUBTOTAL(9,AW11:AW47)</f>
        <v>632526</v>
      </c>
      <c r="AX71" s="1403">
        <f>ROUND(AW71/$AH71*100,1)</f>
        <v>86</v>
      </c>
      <c r="AY71" s="1404">
        <f>SUBTOTAL(9,AY11:AY47)</f>
        <v>633234</v>
      </c>
      <c r="AZ71" s="1403">
        <f>ROUND(AY71/$AH71*100,1)</f>
        <v>86.1</v>
      </c>
      <c r="BA71" s="1404">
        <f>SUBTOTAL(9,BA11:BA47)</f>
        <v>753495</v>
      </c>
      <c r="BB71" s="1404">
        <f>SUBTOTAL(9,BB11:BB47)</f>
        <v>676800</v>
      </c>
      <c r="BC71" s="1405">
        <f>ROUND(BB71/$BA71*100,1)</f>
        <v>89.8</v>
      </c>
      <c r="BD71" s="1404">
        <f>SUBTOTAL(9,BD11:BD47)</f>
        <v>677858</v>
      </c>
      <c r="BE71" s="1405">
        <f>ROUND(BD71/$BA71*100,1)</f>
        <v>90</v>
      </c>
      <c r="BF71" s="1404">
        <f>SUBTOTAL(9,BF11:BF47)</f>
        <v>673455</v>
      </c>
      <c r="BG71" s="1405">
        <f>ROUND(BF71/$BA71*100,1)</f>
        <v>89.4</v>
      </c>
      <c r="BH71" s="1404">
        <f>SUBTOTAL(9,BH11:BH47)</f>
        <v>355169</v>
      </c>
      <c r="BI71" s="1404">
        <f>SUBTOTAL(9,BI11:BI47)</f>
        <v>1264868</v>
      </c>
      <c r="BJ71" s="1404">
        <f>SUBTOTAL(9,BJ11:BJ47)</f>
        <v>435915</v>
      </c>
      <c r="BK71" s="1404">
        <f>SUBTOTAL(9,BK11:BK47)</f>
        <v>578171</v>
      </c>
      <c r="BL71" s="1406">
        <f t="shared" ref="BL71" si="26">ROUND(BK71/C71*100,1)</f>
        <v>79.8</v>
      </c>
      <c r="BM71" s="1404">
        <f>SUBTOTAL(9,BM11:BM47)</f>
        <v>138232</v>
      </c>
      <c r="BN71" s="1404">
        <f>SUBTOTAL(9,BN11:BN47)</f>
        <v>69870</v>
      </c>
      <c r="BO71" s="1404">
        <f>SUBTOTAL(9,BO11:BO47)</f>
        <v>7017</v>
      </c>
      <c r="BP71" s="1407">
        <v>0</v>
      </c>
    </row>
    <row r="72" spans="1:68" ht="18" customHeight="1" x14ac:dyDescent="0.3">
      <c r="A72" s="1399"/>
      <c r="B72" s="1652"/>
      <c r="C72" s="1408"/>
      <c r="D72" s="1399"/>
      <c r="E72" s="1399"/>
      <c r="F72" s="1399"/>
      <c r="G72" s="1399"/>
      <c r="H72" s="1399"/>
      <c r="I72" s="1399"/>
      <c r="J72" s="1399"/>
      <c r="K72" s="1399"/>
      <c r="L72" s="1399"/>
      <c r="M72" s="1399"/>
      <c r="N72" s="1399"/>
      <c r="O72" s="1399"/>
      <c r="P72" s="1399"/>
      <c r="Q72" s="1399"/>
      <c r="R72" s="1399"/>
      <c r="S72" s="1399"/>
      <c r="T72" s="1408">
        <f>SUBTOTAL(9,T11:T47)</f>
        <v>663850</v>
      </c>
      <c r="U72" s="1409">
        <f>ROUND(T72/$C71*100,1)</f>
        <v>91.6</v>
      </c>
      <c r="V72" s="1399"/>
      <c r="W72" s="1399"/>
      <c r="X72" s="1399"/>
      <c r="Y72" s="1399"/>
      <c r="Z72" s="1399"/>
      <c r="AA72" s="1399"/>
      <c r="AB72" s="1399"/>
      <c r="AC72" s="1399"/>
      <c r="AD72" s="1399"/>
      <c r="AE72" s="1399"/>
      <c r="AF72" s="1399"/>
      <c r="AG72" s="1399"/>
      <c r="AH72" s="1399">
        <f>SUBTOTAL(9,AH11:AH47)</f>
        <v>735492</v>
      </c>
      <c r="AI72" s="1399">
        <f>SUBTOTAL(9,AI11:AI47)</f>
        <v>684541</v>
      </c>
      <c r="AJ72" s="1410">
        <f>ROUND(AI72/$AH72*100,1)</f>
        <v>93.1</v>
      </c>
      <c r="AK72" s="1410"/>
      <c r="AL72" s="1410"/>
      <c r="AM72" s="1399"/>
      <c r="AN72" s="1399"/>
      <c r="AO72" s="1399"/>
      <c r="AP72" s="1399"/>
      <c r="AQ72" s="1399"/>
      <c r="AR72" s="1399"/>
      <c r="AS72" s="1399"/>
      <c r="AT72" s="1399"/>
      <c r="AU72" s="1399"/>
      <c r="AV72" s="1399"/>
      <c r="AW72" s="1399"/>
      <c r="AX72" s="1399"/>
      <c r="AY72" s="1399"/>
      <c r="AZ72" s="1399"/>
      <c r="BA72" s="1399"/>
      <c r="BB72" s="1399"/>
      <c r="BC72" s="1399"/>
      <c r="BD72" s="1399"/>
      <c r="BE72" s="1399"/>
      <c r="BF72" s="1399"/>
      <c r="BG72" s="1399"/>
      <c r="BH72" s="1399"/>
      <c r="BI72" s="1399"/>
      <c r="BJ72" s="1399"/>
      <c r="BK72" s="1399"/>
      <c r="BL72" s="1399"/>
      <c r="BM72" s="1399"/>
      <c r="BN72" s="1399"/>
      <c r="BO72" s="1399"/>
      <c r="BP72" s="1399"/>
    </row>
    <row r="73" spans="1:68" x14ac:dyDescent="0.3">
      <c r="B73" s="1653"/>
      <c r="C73" s="1654"/>
      <c r="T73" s="1386"/>
      <c r="U73" s="1394"/>
      <c r="X73" s="1377" t="s">
        <v>478</v>
      </c>
    </row>
    <row r="74" spans="1:68" x14ac:dyDescent="0.3">
      <c r="B74" s="1653"/>
      <c r="C74" s="1654"/>
      <c r="T74" s="1386"/>
      <c r="U74" s="1394"/>
    </row>
    <row r="75" spans="1:68" x14ac:dyDescent="0.3">
      <c r="B75" s="1653"/>
      <c r="C75" s="1654"/>
      <c r="T75" s="1386"/>
      <c r="U75" s="1394"/>
    </row>
    <row r="76" spans="1:68" x14ac:dyDescent="0.3">
      <c r="B76" s="1653"/>
      <c r="C76" s="1654"/>
      <c r="T76" s="1386"/>
      <c r="U76" s="1394"/>
    </row>
    <row r="77" spans="1:68" x14ac:dyDescent="0.3">
      <c r="B77" s="1653"/>
      <c r="C77" s="1654"/>
      <c r="T77" s="1386"/>
      <c r="U77" s="1394"/>
    </row>
    <row r="78" spans="1:68" x14ac:dyDescent="0.3">
      <c r="B78" s="1386"/>
      <c r="C78" s="1655"/>
      <c r="T78" s="1655"/>
      <c r="U78" s="1394"/>
    </row>
    <row r="79" spans="1:68" x14ac:dyDescent="0.3">
      <c r="B79" s="1652"/>
      <c r="C79" s="1386"/>
      <c r="T79" s="1386"/>
      <c r="U79" s="1386"/>
    </row>
    <row r="80" spans="1:68" x14ac:dyDescent="0.3">
      <c r="B80" s="1653"/>
      <c r="C80" s="1654"/>
      <c r="T80" s="1657"/>
      <c r="U80" s="1394"/>
    </row>
    <row r="81" spans="2:21" x14ac:dyDescent="0.3">
      <c r="B81" s="1653"/>
      <c r="C81" s="1654"/>
      <c r="T81" s="1657"/>
      <c r="U81" s="1394"/>
    </row>
    <row r="82" spans="2:21" x14ac:dyDescent="0.3">
      <c r="B82" s="1653"/>
      <c r="C82" s="1654"/>
      <c r="T82" s="1657"/>
      <c r="U82" s="1394"/>
    </row>
    <row r="83" spans="2:21" x14ac:dyDescent="0.3">
      <c r="B83" s="1653"/>
      <c r="C83" s="1654"/>
      <c r="T83" s="1657"/>
      <c r="U83" s="1394"/>
    </row>
    <row r="84" spans="2:21" x14ac:dyDescent="0.3">
      <c r="B84" s="1386"/>
      <c r="C84" s="1656"/>
      <c r="T84" s="1655"/>
      <c r="U84" s="1394"/>
    </row>
    <row r="85" spans="2:21" x14ac:dyDescent="0.3">
      <c r="B85" s="1386"/>
      <c r="C85" s="1386"/>
      <c r="T85" s="1386"/>
      <c r="U85" s="1386"/>
    </row>
    <row r="86" spans="2:21" x14ac:dyDescent="0.3">
      <c r="B86" s="1652"/>
      <c r="C86" s="1386"/>
      <c r="T86" s="1386"/>
      <c r="U86" s="1386"/>
    </row>
    <row r="87" spans="2:21" x14ac:dyDescent="0.3">
      <c r="B87" s="1653"/>
      <c r="C87" s="1654"/>
      <c r="T87" s="1654"/>
      <c r="U87" s="1394"/>
    </row>
    <row r="88" spans="2:21" x14ac:dyDescent="0.3">
      <c r="B88" s="1653"/>
      <c r="C88" s="1654"/>
      <c r="T88" s="1654"/>
      <c r="U88" s="1394"/>
    </row>
    <row r="89" spans="2:21" x14ac:dyDescent="0.3">
      <c r="B89" s="1653"/>
      <c r="C89" s="1654"/>
      <c r="T89" s="1654"/>
      <c r="U89" s="1394"/>
    </row>
    <row r="90" spans="2:21" x14ac:dyDescent="0.3">
      <c r="B90" s="1653"/>
      <c r="C90" s="1654"/>
      <c r="T90" s="1654"/>
      <c r="U90" s="1394"/>
    </row>
    <row r="91" spans="2:21" x14ac:dyDescent="0.3">
      <c r="B91" s="1653"/>
      <c r="C91" s="1654"/>
      <c r="T91" s="1654"/>
      <c r="U91" s="1394"/>
    </row>
    <row r="92" spans="2:21" x14ac:dyDescent="0.3">
      <c r="B92" s="1653"/>
      <c r="C92" s="1654"/>
      <c r="T92" s="1654"/>
      <c r="U92" s="1394"/>
    </row>
    <row r="93" spans="2:21" x14ac:dyDescent="0.3">
      <c r="B93" s="1386"/>
      <c r="C93" s="1655"/>
      <c r="T93" s="1655"/>
      <c r="U93" s="1658"/>
    </row>
    <row r="94" spans="2:21" x14ac:dyDescent="0.3">
      <c r="B94" s="1386"/>
      <c r="C94" s="1386"/>
      <c r="T94" s="1386"/>
      <c r="U94" s="1386"/>
    </row>
    <row r="95" spans="2:21" x14ac:dyDescent="0.3">
      <c r="T95" s="1386"/>
      <c r="U95" s="1386"/>
    </row>
    <row r="96" spans="2:21" x14ac:dyDescent="0.3">
      <c r="T96" s="1386"/>
      <c r="U96" s="1386"/>
    </row>
    <row r="97" spans="20:21" x14ac:dyDescent="0.3">
      <c r="T97" s="1386"/>
      <c r="U97" s="1386"/>
    </row>
    <row r="98" spans="20:21" x14ac:dyDescent="0.3">
      <c r="T98" s="1386"/>
      <c r="U98" s="1386"/>
    </row>
    <row r="99" spans="20:21" x14ac:dyDescent="0.3">
      <c r="T99" s="1386"/>
      <c r="U99" s="1386"/>
    </row>
    <row r="100" spans="20:21" x14ac:dyDescent="0.3">
      <c r="T100" s="1386"/>
      <c r="U100" s="1386"/>
    </row>
    <row r="101" spans="20:21" x14ac:dyDescent="0.3">
      <c r="T101" s="1386"/>
      <c r="U101" s="1386"/>
    </row>
  </sheetData>
  <mergeCells count="28">
    <mergeCell ref="N9:O9"/>
    <mergeCell ref="D9:E9"/>
    <mergeCell ref="F9:G9"/>
    <mergeCell ref="H9:I9"/>
    <mergeCell ref="J9:K9"/>
    <mergeCell ref="L9:M9"/>
    <mergeCell ref="AM9:AN9"/>
    <mergeCell ref="P9:Q9"/>
    <mergeCell ref="R9:S9"/>
    <mergeCell ref="T9:U9"/>
    <mergeCell ref="V9:W9"/>
    <mergeCell ref="X9:Y9"/>
    <mergeCell ref="Z9:AA9"/>
    <mergeCell ref="AB9:AC9"/>
    <mergeCell ref="AD9:AE9"/>
    <mergeCell ref="AF9:AG9"/>
    <mergeCell ref="AI9:AJ9"/>
    <mergeCell ref="AK9:AL9"/>
    <mergeCell ref="BD9:BE9"/>
    <mergeCell ref="BF9:BG9"/>
    <mergeCell ref="BK9:BL9"/>
    <mergeCell ref="BM9:BO9"/>
    <mergeCell ref="AO9:AP9"/>
    <mergeCell ref="AQ9:AR9"/>
    <mergeCell ref="AU9:AV9"/>
    <mergeCell ref="AW9:AX9"/>
    <mergeCell ref="AY9:AZ9"/>
    <mergeCell ref="BB9:BC9"/>
  </mergeCells>
  <conditionalFormatting sqref="K11:K47 M11:M47 O11:O47 Q11:Q47 S11:S47 U11:U47 W11:W47 Y11:Y47 AA11:AA47 AC11:AC47 AE11:AE47 AG11:AG47 AP11:AP47 AV11:AV47 AX11:AX47 AZ11:AZ47 BC11:BC47 BE11:BE47 AJ11:AJ47 AL11:AL47 BG11:BG47 E11:E47 E49 BG49 AL49 AJ49 BE49 BC49 AZ49 AX49 AV49 AP49 AG49 AE49 AC49 AA49 Y49 W49 U49 S49 Q49 O49 M49 K49 G49 I49">
    <cfRule type="cellIs" dxfId="503" priority="154" stopIfTrue="1" operator="between">
      <formula>$C$59</formula>
      <formula>$D$59</formula>
    </cfRule>
    <cfRule type="cellIs" dxfId="502" priority="155" stopIfTrue="1" operator="between">
      <formula>$C$58</formula>
      <formula>$D$58</formula>
    </cfRule>
    <cfRule type="cellIs" dxfId="501" priority="156" stopIfTrue="1" operator="between">
      <formula>$C$57</formula>
      <formula>$D$57</formula>
    </cfRule>
    <cfRule type="cellIs" dxfId="500" priority="157" stopIfTrue="1" operator="between">
      <formula>$C$56</formula>
      <formula>$D$56</formula>
    </cfRule>
    <cfRule type="cellIs" dxfId="499" priority="158" stopIfTrue="1" operator="between">
      <formula>$C$55</formula>
      <formula>$D$55</formula>
    </cfRule>
    <cfRule type="cellIs" dxfId="498" priority="159" stopIfTrue="1" operator="greaterThanOrEqual">
      <formula>$C$54</formula>
    </cfRule>
  </conditionalFormatting>
  <conditionalFormatting sqref="E71 G71 I71">
    <cfRule type="cellIs" dxfId="497" priority="148" stopIfTrue="1" operator="between">
      <formula>$C$59</formula>
      <formula>$D$59</formula>
    </cfRule>
    <cfRule type="cellIs" dxfId="496" priority="149" stopIfTrue="1" operator="between">
      <formula>$C$58</formula>
      <formula>$D$58</formula>
    </cfRule>
    <cfRule type="cellIs" dxfId="495" priority="150" stopIfTrue="1" operator="between">
      <formula>$C$57</formula>
      <formula>$D$57</formula>
    </cfRule>
    <cfRule type="cellIs" dxfId="494" priority="151" stopIfTrue="1" operator="between">
      <formula>$C$56</formula>
      <formula>$D$56</formula>
    </cfRule>
    <cfRule type="cellIs" dxfId="493" priority="152" stopIfTrue="1" operator="between">
      <formula>$C$55</formula>
      <formula>$D$55</formula>
    </cfRule>
    <cfRule type="cellIs" dxfId="492" priority="153" stopIfTrue="1" operator="greaterThan">
      <formula>$C$54</formula>
    </cfRule>
  </conditionalFormatting>
  <conditionalFormatting sqref="K71">
    <cfRule type="cellIs" dxfId="491" priority="142" stopIfTrue="1" operator="between">
      <formula>$C$59</formula>
      <formula>$D$59</formula>
    </cfRule>
    <cfRule type="cellIs" dxfId="490" priority="143" stopIfTrue="1" operator="between">
      <formula>$C$58</formula>
      <formula>$D$58</formula>
    </cfRule>
    <cfRule type="cellIs" dxfId="489" priority="144" stopIfTrue="1" operator="between">
      <formula>$C$57</formula>
      <formula>$D$57</formula>
    </cfRule>
    <cfRule type="cellIs" dxfId="488" priority="145" stopIfTrue="1" operator="between">
      <formula>$C$56</formula>
      <formula>$D$56</formula>
    </cfRule>
    <cfRule type="cellIs" dxfId="487" priority="146" stopIfTrue="1" operator="between">
      <formula>$C$55</formula>
      <formula>$D$55</formula>
    </cfRule>
    <cfRule type="cellIs" dxfId="486" priority="147" stopIfTrue="1" operator="greaterThan">
      <formula>$C$54</formula>
    </cfRule>
  </conditionalFormatting>
  <conditionalFormatting sqref="M71">
    <cfRule type="cellIs" dxfId="485" priority="136" stopIfTrue="1" operator="between">
      <formula>$C$59</formula>
      <formula>$D$59</formula>
    </cfRule>
    <cfRule type="cellIs" dxfId="484" priority="137" stopIfTrue="1" operator="between">
      <formula>$C$58</formula>
      <formula>$D$58</formula>
    </cfRule>
    <cfRule type="cellIs" dxfId="483" priority="138" stopIfTrue="1" operator="between">
      <formula>$C$57</formula>
      <formula>$D$57</formula>
    </cfRule>
    <cfRule type="cellIs" dxfId="482" priority="139" stopIfTrue="1" operator="between">
      <formula>$C$56</formula>
      <formula>$D$56</formula>
    </cfRule>
    <cfRule type="cellIs" dxfId="481" priority="140" stopIfTrue="1" operator="between">
      <formula>$C$55</formula>
      <formula>$D$55</formula>
    </cfRule>
    <cfRule type="cellIs" dxfId="480" priority="141" stopIfTrue="1" operator="greaterThan">
      <formula>$C$54</formula>
    </cfRule>
  </conditionalFormatting>
  <conditionalFormatting sqref="O71">
    <cfRule type="cellIs" dxfId="479" priority="130" stopIfTrue="1" operator="between">
      <formula>$C$59</formula>
      <formula>$D$59</formula>
    </cfRule>
    <cfRule type="cellIs" dxfId="478" priority="131" stopIfTrue="1" operator="between">
      <formula>$C$58</formula>
      <formula>$D$58</formula>
    </cfRule>
    <cfRule type="cellIs" dxfId="477" priority="132" stopIfTrue="1" operator="between">
      <formula>$C$57</formula>
      <formula>$D$57</formula>
    </cfRule>
    <cfRule type="cellIs" dxfId="476" priority="133" stopIfTrue="1" operator="between">
      <formula>$C$56</formula>
      <formula>$D$56</formula>
    </cfRule>
    <cfRule type="cellIs" dxfId="475" priority="134" stopIfTrue="1" operator="between">
      <formula>$C$55</formula>
      <formula>$D$55</formula>
    </cfRule>
    <cfRule type="cellIs" dxfId="474" priority="135" stopIfTrue="1" operator="greaterThan">
      <formula>$C$54</formula>
    </cfRule>
  </conditionalFormatting>
  <conditionalFormatting sqref="Q71">
    <cfRule type="cellIs" dxfId="473" priority="124" stopIfTrue="1" operator="between">
      <formula>$C$59</formula>
      <formula>$D$59</formula>
    </cfRule>
    <cfRule type="cellIs" dxfId="472" priority="125" stopIfTrue="1" operator="between">
      <formula>$C$58</formula>
      <formula>$D$58</formula>
    </cfRule>
    <cfRule type="cellIs" dxfId="471" priority="126" stopIfTrue="1" operator="between">
      <formula>$C$57</formula>
      <formula>$D$57</formula>
    </cfRule>
    <cfRule type="cellIs" dxfId="470" priority="127" stopIfTrue="1" operator="between">
      <formula>$C$56</formula>
      <formula>$D$56</formula>
    </cfRule>
    <cfRule type="cellIs" dxfId="469" priority="128" stopIfTrue="1" operator="between">
      <formula>$C$55</formula>
      <formula>$D$55</formula>
    </cfRule>
    <cfRule type="cellIs" dxfId="468" priority="129" stopIfTrue="1" operator="greaterThan">
      <formula>$C$54</formula>
    </cfRule>
  </conditionalFormatting>
  <conditionalFormatting sqref="S71">
    <cfRule type="cellIs" dxfId="467" priority="118" stopIfTrue="1" operator="between">
      <formula>$C$59</formula>
      <formula>$D$59</formula>
    </cfRule>
    <cfRule type="cellIs" dxfId="466" priority="119" stopIfTrue="1" operator="between">
      <formula>$C$58</formula>
      <formula>$D$58</formula>
    </cfRule>
    <cfRule type="cellIs" dxfId="465" priority="120" stopIfTrue="1" operator="between">
      <formula>$C$57</formula>
      <formula>$D$57</formula>
    </cfRule>
    <cfRule type="cellIs" dxfId="464" priority="121" stopIfTrue="1" operator="between">
      <formula>$C$56</formula>
      <formula>$D$56</formula>
    </cfRule>
    <cfRule type="cellIs" dxfId="463" priority="122" stopIfTrue="1" operator="between">
      <formula>$C$55</formula>
      <formula>$D$55</formula>
    </cfRule>
    <cfRule type="cellIs" dxfId="462" priority="123" stopIfTrue="1" operator="greaterThan">
      <formula>$C$54</formula>
    </cfRule>
  </conditionalFormatting>
  <conditionalFormatting sqref="U71">
    <cfRule type="cellIs" dxfId="461" priority="112" stopIfTrue="1" operator="between">
      <formula>$C$59</formula>
      <formula>$D$59</formula>
    </cfRule>
    <cfRule type="cellIs" dxfId="460" priority="113" stopIfTrue="1" operator="between">
      <formula>$C$58</formula>
      <formula>$D$58</formula>
    </cfRule>
    <cfRule type="cellIs" dxfId="459" priority="114" stopIfTrue="1" operator="between">
      <formula>$C$57</formula>
      <formula>$D$57</formula>
    </cfRule>
    <cfRule type="cellIs" dxfId="458" priority="115" stopIfTrue="1" operator="between">
      <formula>$C$56</formula>
      <formula>$D$56</formula>
    </cfRule>
    <cfRule type="cellIs" dxfId="457" priority="116" stopIfTrue="1" operator="between">
      <formula>$C$55</formula>
      <formula>$D$55</formula>
    </cfRule>
    <cfRule type="cellIs" dxfId="456" priority="117" stopIfTrue="1" operator="greaterThan">
      <formula>$C$54</formula>
    </cfRule>
  </conditionalFormatting>
  <conditionalFormatting sqref="W71">
    <cfRule type="cellIs" dxfId="455" priority="106" stopIfTrue="1" operator="between">
      <formula>$C$59</formula>
      <formula>$D$59</formula>
    </cfRule>
    <cfRule type="cellIs" dxfId="454" priority="107" stopIfTrue="1" operator="between">
      <formula>$C$58</formula>
      <formula>$D$58</formula>
    </cfRule>
    <cfRule type="cellIs" dxfId="453" priority="108" stopIfTrue="1" operator="between">
      <formula>$C$57</formula>
      <formula>$D$57</formula>
    </cfRule>
    <cfRule type="cellIs" dxfId="452" priority="109" stopIfTrue="1" operator="between">
      <formula>$C$56</formula>
      <formula>$D$56</formula>
    </cfRule>
    <cfRule type="cellIs" dxfId="451" priority="110" stopIfTrue="1" operator="between">
      <formula>$C$55</formula>
      <formula>$D$55</formula>
    </cfRule>
    <cfRule type="cellIs" dxfId="450" priority="111" stopIfTrue="1" operator="greaterThan">
      <formula>$C$54</formula>
    </cfRule>
  </conditionalFormatting>
  <conditionalFormatting sqref="Y71">
    <cfRule type="cellIs" dxfId="449" priority="100" stopIfTrue="1" operator="between">
      <formula>$C$59</formula>
      <formula>$D$59</formula>
    </cfRule>
    <cfRule type="cellIs" dxfId="448" priority="101" stopIfTrue="1" operator="between">
      <formula>$C$58</formula>
      <formula>$D$58</formula>
    </cfRule>
    <cfRule type="cellIs" dxfId="447" priority="102" stopIfTrue="1" operator="between">
      <formula>$C$57</formula>
      <formula>$D$57</formula>
    </cfRule>
    <cfRule type="cellIs" dxfId="446" priority="103" stopIfTrue="1" operator="between">
      <formula>$C$56</formula>
      <formula>$D$56</formula>
    </cfRule>
    <cfRule type="cellIs" dxfId="445" priority="104" stopIfTrue="1" operator="between">
      <formula>$C$55</formula>
      <formula>$D$55</formula>
    </cfRule>
    <cfRule type="cellIs" dxfId="444" priority="105" stopIfTrue="1" operator="greaterThan">
      <formula>$C$54</formula>
    </cfRule>
  </conditionalFormatting>
  <conditionalFormatting sqref="AA71">
    <cfRule type="cellIs" dxfId="443" priority="94" stopIfTrue="1" operator="between">
      <formula>$C$59</formula>
      <formula>$D$59</formula>
    </cfRule>
    <cfRule type="cellIs" dxfId="442" priority="95" stopIfTrue="1" operator="between">
      <formula>$C$58</formula>
      <formula>$D$58</formula>
    </cfRule>
    <cfRule type="cellIs" dxfId="441" priority="96" stopIfTrue="1" operator="between">
      <formula>$C$57</formula>
      <formula>$D$57</formula>
    </cfRule>
    <cfRule type="cellIs" dxfId="440" priority="97" stopIfTrue="1" operator="between">
      <formula>$C$56</formula>
      <formula>$D$56</formula>
    </cfRule>
    <cfRule type="cellIs" dxfId="439" priority="98" stopIfTrue="1" operator="between">
      <formula>$C$55</formula>
      <formula>$D$55</formula>
    </cfRule>
    <cfRule type="cellIs" dxfId="438" priority="99" stopIfTrue="1" operator="greaterThan">
      <formula>$C$54</formula>
    </cfRule>
  </conditionalFormatting>
  <conditionalFormatting sqref="AC71">
    <cfRule type="cellIs" dxfId="437" priority="88" stopIfTrue="1" operator="between">
      <formula>$C$59</formula>
      <formula>$D$59</formula>
    </cfRule>
    <cfRule type="cellIs" dxfId="436" priority="89" stopIfTrue="1" operator="between">
      <formula>$C$58</formula>
      <formula>$D$58</formula>
    </cfRule>
    <cfRule type="cellIs" dxfId="435" priority="90" stopIfTrue="1" operator="between">
      <formula>$C$57</formula>
      <formula>$D$57</formula>
    </cfRule>
    <cfRule type="cellIs" dxfId="434" priority="91" stopIfTrue="1" operator="between">
      <formula>$C$56</formula>
      <formula>$D$56</formula>
    </cfRule>
    <cfRule type="cellIs" dxfId="433" priority="92" stopIfTrue="1" operator="between">
      <formula>$C$55</formula>
      <formula>$D$55</formula>
    </cfRule>
    <cfRule type="cellIs" dxfId="432" priority="93" stopIfTrue="1" operator="greaterThan">
      <formula>$C$54</formula>
    </cfRule>
  </conditionalFormatting>
  <conditionalFormatting sqref="AE71">
    <cfRule type="cellIs" dxfId="431" priority="82" stopIfTrue="1" operator="between">
      <formula>$C$59</formula>
      <formula>$D$59</formula>
    </cfRule>
    <cfRule type="cellIs" dxfId="430" priority="83" stopIfTrue="1" operator="between">
      <formula>$C$58</formula>
      <formula>$D$58</formula>
    </cfRule>
    <cfRule type="cellIs" dxfId="429" priority="84" stopIfTrue="1" operator="between">
      <formula>$C$57</formula>
      <formula>$D$57</formula>
    </cfRule>
    <cfRule type="cellIs" dxfId="428" priority="85" stopIfTrue="1" operator="between">
      <formula>$C$56</formula>
      <formula>$D$56</formula>
    </cfRule>
    <cfRule type="cellIs" dxfId="427" priority="86" stopIfTrue="1" operator="between">
      <formula>$C$55</formula>
      <formula>$D$55</formula>
    </cfRule>
    <cfRule type="cellIs" dxfId="426" priority="87" stopIfTrue="1" operator="greaterThan">
      <formula>$C$54</formula>
    </cfRule>
  </conditionalFormatting>
  <conditionalFormatting sqref="AG71">
    <cfRule type="cellIs" dxfId="425" priority="76" stopIfTrue="1" operator="between">
      <formula>$C$59</formula>
      <formula>$D$59</formula>
    </cfRule>
    <cfRule type="cellIs" dxfId="424" priority="77" stopIfTrue="1" operator="between">
      <formula>$C$58</formula>
      <formula>$D$58</formula>
    </cfRule>
    <cfRule type="cellIs" dxfId="423" priority="78" stopIfTrue="1" operator="between">
      <formula>$C$57</formula>
      <formula>$D$57</formula>
    </cfRule>
    <cfRule type="cellIs" dxfId="422" priority="79" stopIfTrue="1" operator="between">
      <formula>$C$56</formula>
      <formula>$D$56</formula>
    </cfRule>
    <cfRule type="cellIs" dxfId="421" priority="80" stopIfTrue="1" operator="between">
      <formula>$C$55</formula>
      <formula>$D$55</formula>
    </cfRule>
    <cfRule type="cellIs" dxfId="420" priority="81" stopIfTrue="1" operator="greaterThan">
      <formula>$C$54</formula>
    </cfRule>
  </conditionalFormatting>
  <conditionalFormatting sqref="AJ71">
    <cfRule type="cellIs" dxfId="419" priority="70" stopIfTrue="1" operator="between">
      <formula>$C$59</formula>
      <formula>$D$59</formula>
    </cfRule>
    <cfRule type="cellIs" dxfId="418" priority="71" stopIfTrue="1" operator="between">
      <formula>$C$58</formula>
      <formula>$D$58</formula>
    </cfRule>
    <cfRule type="cellIs" dxfId="417" priority="72" stopIfTrue="1" operator="between">
      <formula>$C$57</formula>
      <formula>$D$57</formula>
    </cfRule>
    <cfRule type="cellIs" dxfId="416" priority="73" stopIfTrue="1" operator="between">
      <formula>$C$56</formula>
      <formula>$D$56</formula>
    </cfRule>
    <cfRule type="cellIs" dxfId="415" priority="74" stopIfTrue="1" operator="between">
      <formula>$C$55</formula>
      <formula>$D$55</formula>
    </cfRule>
    <cfRule type="cellIs" dxfId="414" priority="75" stopIfTrue="1" operator="greaterThan">
      <formula>$C$54</formula>
    </cfRule>
  </conditionalFormatting>
  <conditionalFormatting sqref="AL71">
    <cfRule type="cellIs" dxfId="413" priority="64" stopIfTrue="1" operator="between">
      <formula>$C$59</formula>
      <formula>$D$59</formula>
    </cfRule>
    <cfRule type="cellIs" dxfId="412" priority="65" stopIfTrue="1" operator="between">
      <formula>$C$58</formula>
      <formula>$D$58</formula>
    </cfRule>
    <cfRule type="cellIs" dxfId="411" priority="66" stopIfTrue="1" operator="between">
      <formula>$C$57</formula>
      <formula>$D$57</formula>
    </cfRule>
    <cfRule type="cellIs" dxfId="410" priority="67" stopIfTrue="1" operator="between">
      <formula>$C$56</formula>
      <formula>$D$56</formula>
    </cfRule>
    <cfRule type="cellIs" dxfId="409" priority="68" stopIfTrue="1" operator="between">
      <formula>$C$55</formula>
      <formula>$D$55</formula>
    </cfRule>
    <cfRule type="cellIs" dxfId="408" priority="69" stopIfTrue="1" operator="greaterThan">
      <formula>$C$54</formula>
    </cfRule>
  </conditionalFormatting>
  <conditionalFormatting sqref="AP71">
    <cfRule type="cellIs" dxfId="407" priority="58" stopIfTrue="1" operator="between">
      <formula>$C$59</formula>
      <formula>$D$59</formula>
    </cfRule>
    <cfRule type="cellIs" dxfId="406" priority="59" stopIfTrue="1" operator="between">
      <formula>$C$58</formula>
      <formula>$D$58</formula>
    </cfRule>
    <cfRule type="cellIs" dxfId="405" priority="60" stopIfTrue="1" operator="between">
      <formula>$C$57</formula>
      <formula>$D$57</formula>
    </cfRule>
    <cfRule type="cellIs" dxfId="404" priority="61" stopIfTrue="1" operator="between">
      <formula>$C$56</formula>
      <formula>$D$56</formula>
    </cfRule>
    <cfRule type="cellIs" dxfId="403" priority="62" stopIfTrue="1" operator="between">
      <formula>$C$55</formula>
      <formula>$D$55</formula>
    </cfRule>
    <cfRule type="cellIs" dxfId="402" priority="63" stopIfTrue="1" operator="greaterThan">
      <formula>$C$54</formula>
    </cfRule>
  </conditionalFormatting>
  <conditionalFormatting sqref="AV71">
    <cfRule type="cellIs" dxfId="401" priority="52" stopIfTrue="1" operator="between">
      <formula>$C$59</formula>
      <formula>$D$59</formula>
    </cfRule>
    <cfRule type="cellIs" dxfId="400" priority="53" stopIfTrue="1" operator="between">
      <formula>$C$58</formula>
      <formula>$D$58</formula>
    </cfRule>
    <cfRule type="cellIs" dxfId="399" priority="54" stopIfTrue="1" operator="between">
      <formula>$C$57</formula>
      <formula>$D$57</formula>
    </cfRule>
    <cfRule type="cellIs" dxfId="398" priority="55" stopIfTrue="1" operator="between">
      <formula>$C$56</formula>
      <formula>$D$56</formula>
    </cfRule>
    <cfRule type="cellIs" dxfId="397" priority="56" stopIfTrue="1" operator="between">
      <formula>$C$55</formula>
      <formula>$D$55</formula>
    </cfRule>
    <cfRule type="cellIs" dxfId="396" priority="57" stopIfTrue="1" operator="greaterThan">
      <formula>$C$54</formula>
    </cfRule>
  </conditionalFormatting>
  <conditionalFormatting sqref="AX71">
    <cfRule type="cellIs" dxfId="395" priority="46" stopIfTrue="1" operator="between">
      <formula>$C$59</formula>
      <formula>$D$59</formula>
    </cfRule>
    <cfRule type="cellIs" dxfId="394" priority="47" stopIfTrue="1" operator="between">
      <formula>$C$58</formula>
      <formula>$D$58</formula>
    </cfRule>
    <cfRule type="cellIs" dxfId="393" priority="48" stopIfTrue="1" operator="between">
      <formula>$C$57</formula>
      <formula>$D$57</formula>
    </cfRule>
    <cfRule type="cellIs" dxfId="392" priority="49" stopIfTrue="1" operator="between">
      <formula>$C$56</formula>
      <formula>$D$56</formula>
    </cfRule>
    <cfRule type="cellIs" dxfId="391" priority="50" stopIfTrue="1" operator="between">
      <formula>$C$55</formula>
      <formula>$D$55</formula>
    </cfRule>
    <cfRule type="cellIs" dxfId="390" priority="51" stopIfTrue="1" operator="greaterThan">
      <formula>$C$54</formula>
    </cfRule>
  </conditionalFormatting>
  <conditionalFormatting sqref="AZ71">
    <cfRule type="cellIs" dxfId="389" priority="40" stopIfTrue="1" operator="between">
      <formula>$C$59</formula>
      <formula>$D$59</formula>
    </cfRule>
    <cfRule type="cellIs" dxfId="388" priority="41" stopIfTrue="1" operator="between">
      <formula>$C$58</formula>
      <formula>$D$58</formula>
    </cfRule>
    <cfRule type="cellIs" dxfId="387" priority="42" stopIfTrue="1" operator="between">
      <formula>$C$57</formula>
      <formula>$D$57</formula>
    </cfRule>
    <cfRule type="cellIs" dxfId="386" priority="43" stopIfTrue="1" operator="between">
      <formula>$C$56</formula>
      <formula>$D$56</formula>
    </cfRule>
    <cfRule type="cellIs" dxfId="385" priority="44" stopIfTrue="1" operator="between">
      <formula>$C$55</formula>
      <formula>$D$55</formula>
    </cfRule>
    <cfRule type="cellIs" dxfId="384" priority="45" stopIfTrue="1" operator="greaterThan">
      <formula>$C$54</formula>
    </cfRule>
  </conditionalFormatting>
  <conditionalFormatting sqref="BC71">
    <cfRule type="cellIs" dxfId="383" priority="34" stopIfTrue="1" operator="between">
      <formula>$C$59</formula>
      <formula>$D$59</formula>
    </cfRule>
    <cfRule type="cellIs" dxfId="382" priority="35" stopIfTrue="1" operator="between">
      <formula>$C$58</formula>
      <formula>$D$58</formula>
    </cfRule>
    <cfRule type="cellIs" dxfId="381" priority="36" stopIfTrue="1" operator="between">
      <formula>$C$57</formula>
      <formula>$D$57</formula>
    </cfRule>
    <cfRule type="cellIs" dxfId="380" priority="37" stopIfTrue="1" operator="between">
      <formula>$C$56</formula>
      <formula>$D$56</formula>
    </cfRule>
    <cfRule type="cellIs" dxfId="379" priority="38" stopIfTrue="1" operator="between">
      <formula>$C$55</formula>
      <formula>$D$55</formula>
    </cfRule>
    <cfRule type="cellIs" dxfId="378" priority="39" stopIfTrue="1" operator="greaterThan">
      <formula>$C$54</formula>
    </cfRule>
  </conditionalFormatting>
  <conditionalFormatting sqref="BE71">
    <cfRule type="cellIs" dxfId="377" priority="28" stopIfTrue="1" operator="between">
      <formula>$C$59</formula>
      <formula>$D$59</formula>
    </cfRule>
    <cfRule type="cellIs" dxfId="376" priority="29" stopIfTrue="1" operator="between">
      <formula>$C$58</formula>
      <formula>$D$58</formula>
    </cfRule>
    <cfRule type="cellIs" dxfId="375" priority="30" stopIfTrue="1" operator="between">
      <formula>$C$57</formula>
      <formula>$D$57</formula>
    </cfRule>
    <cfRule type="cellIs" dxfId="374" priority="31" stopIfTrue="1" operator="between">
      <formula>$C$56</formula>
      <formula>$D$56</formula>
    </cfRule>
    <cfRule type="cellIs" dxfId="373" priority="32" stopIfTrue="1" operator="between">
      <formula>$C$55</formula>
      <formula>$D$55</formula>
    </cfRule>
    <cfRule type="cellIs" dxfId="372" priority="33" stopIfTrue="1" operator="greaterThan">
      <formula>$C$54</formula>
    </cfRule>
  </conditionalFormatting>
  <conditionalFormatting sqref="BG71">
    <cfRule type="cellIs" dxfId="371" priority="22" stopIfTrue="1" operator="between">
      <formula>$C$59</formula>
      <formula>$D$59</formula>
    </cfRule>
    <cfRule type="cellIs" dxfId="370" priority="23" stopIfTrue="1" operator="between">
      <formula>$C$58</formula>
      <formula>$D$58</formula>
    </cfRule>
    <cfRule type="cellIs" dxfId="369" priority="24" stopIfTrue="1" operator="between">
      <formula>$C$57</formula>
      <formula>$D$57</formula>
    </cfRule>
    <cfRule type="cellIs" dxfId="368" priority="25" stopIfTrue="1" operator="between">
      <formula>$C$56</formula>
      <formula>$D$56</formula>
    </cfRule>
    <cfRule type="cellIs" dxfId="367" priority="26" stopIfTrue="1" operator="between">
      <formula>$C$55</formula>
      <formula>$D$55</formula>
    </cfRule>
    <cfRule type="cellIs" dxfId="366" priority="27" stopIfTrue="1" operator="greaterThan">
      <formula>$C$54</formula>
    </cfRule>
  </conditionalFormatting>
  <conditionalFormatting sqref="G11:G47">
    <cfRule type="cellIs" dxfId="365" priority="13" stopIfTrue="1" operator="between">
      <formula>$C$59</formula>
      <formula>$D$59</formula>
    </cfRule>
    <cfRule type="cellIs" dxfId="364" priority="14" stopIfTrue="1" operator="between">
      <formula>$C$58</formula>
      <formula>$D$58</formula>
    </cfRule>
    <cfRule type="cellIs" dxfId="363" priority="15" stopIfTrue="1" operator="between">
      <formula>$C$57</formula>
      <formula>$D$57</formula>
    </cfRule>
    <cfRule type="cellIs" dxfId="362" priority="16" stopIfTrue="1" operator="between">
      <formula>$C$56</formula>
      <formula>$D$56</formula>
    </cfRule>
    <cfRule type="cellIs" dxfId="361" priority="17" stopIfTrue="1" operator="between">
      <formula>$C$55</formula>
      <formula>$D$55</formula>
    </cfRule>
    <cfRule type="cellIs" dxfId="360" priority="18" stopIfTrue="1" operator="greaterThanOrEqual">
      <formula>$C$54</formula>
    </cfRule>
  </conditionalFormatting>
  <conditionalFormatting sqref="I11:I47">
    <cfRule type="cellIs" dxfId="359" priority="7" stopIfTrue="1" operator="between">
      <formula>$C$59</formula>
      <formula>$D$59</formula>
    </cfRule>
    <cfRule type="cellIs" dxfId="358" priority="8" stopIfTrue="1" operator="between">
      <formula>$C$58</formula>
      <formula>$D$58</formula>
    </cfRule>
    <cfRule type="cellIs" dxfId="357" priority="9" stopIfTrue="1" operator="between">
      <formula>$C$57</formula>
      <formula>$D$57</formula>
    </cfRule>
    <cfRule type="cellIs" dxfId="356" priority="10" stopIfTrue="1" operator="between">
      <formula>$C$56</formula>
      <formula>$D$56</formula>
    </cfRule>
    <cfRule type="cellIs" dxfId="355" priority="11" stopIfTrue="1" operator="between">
      <formula>$C$55</formula>
      <formula>$D$55</formula>
    </cfRule>
    <cfRule type="cellIs" dxfId="354" priority="12" stopIfTrue="1" operator="greaterThanOrEqual">
      <formula>$C$54</formula>
    </cfRule>
  </conditionalFormatting>
  <printOptions horizontalCentered="1"/>
  <pageMargins left="0.23622047244094491" right="0.19685039370078741" top="0.98425196850393704" bottom="0.31496062992125984" header="0.23622047244094491" footer="0.19685039370078741"/>
  <pageSetup paperSize="14" scale="65" orientation="landscape" horizontalDpi="4294967294" verticalDpi="4294967294" r:id="rId1"/>
  <headerFooter>
    <oddHeader>&amp;L                        &amp;G&amp;C&amp;"-,Negrita"Ministerio Salud y  Protección Social
República de Colombia
Dirección de Promoción y Prevención - Programa - PAI
Coberturas de Vacunación por Biologicos y  Departamento - Diciembre  2017</oddHeader>
    <oddFooter>&amp;C** &amp;F **&amp;R&amp;D - &amp;T        .</oddFooter>
  </headerFooter>
  <colBreaks count="1" manualBreakCount="1">
    <brk id="33" min="8" max="49" man="1"/>
  </colBreaks>
  <drawing r:id="rId2"/>
  <legacyDrawingHF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03"/>
  <sheetViews>
    <sheetView topLeftCell="B1" zoomScale="90" zoomScaleNormal="90" workbookViewId="0">
      <pane xSplit="2" ySplit="10" topLeftCell="D11" activePane="bottomRight" state="frozen"/>
      <selection activeCell="B1" sqref="B1"/>
      <selection pane="topRight" activeCell="D1" sqref="D1"/>
      <selection pane="bottomLeft" activeCell="B3" sqref="B3"/>
      <selection pane="bottomRight" activeCell="D11" sqref="D11"/>
    </sheetView>
  </sheetViews>
  <sheetFormatPr baseColWidth="10" defaultColWidth="11.42578125" defaultRowHeight="16.5" x14ac:dyDescent="0.3"/>
  <cols>
    <col min="1" max="1" width="4.5703125" style="1449" customWidth="1"/>
    <col min="2" max="2" width="17.28515625" style="1449" customWidth="1"/>
    <col min="3" max="3" width="15" style="1449" customWidth="1"/>
    <col min="4" max="4" width="9.85546875" style="1449" customWidth="1"/>
    <col min="5" max="5" width="7.28515625" style="1449" bestFit="1" customWidth="1"/>
    <col min="6" max="6" width="9.140625" style="1449" customWidth="1"/>
    <col min="7" max="7" width="6.85546875" style="1449" customWidth="1"/>
    <col min="8" max="8" width="8.42578125" style="1449" customWidth="1"/>
    <col min="9" max="9" width="6.85546875" style="1449" customWidth="1"/>
    <col min="10" max="10" width="8.5703125" style="1449" customWidth="1"/>
    <col min="11" max="11" width="6.85546875" style="1449" customWidth="1"/>
    <col min="12" max="12" width="9" style="1449" customWidth="1"/>
    <col min="13" max="13" width="6.85546875" style="1449" customWidth="1"/>
    <col min="14" max="14" width="7.7109375" style="1449" customWidth="1"/>
    <col min="15" max="15" width="7.28515625" style="1449" bestFit="1" customWidth="1"/>
    <col min="16" max="16" width="7.42578125" style="1449" customWidth="1"/>
    <col min="17" max="17" width="7.28515625" style="1449" bestFit="1" customWidth="1"/>
    <col min="18" max="18" width="7.85546875" style="1449" customWidth="1"/>
    <col min="19" max="19" width="7.28515625" style="1449" bestFit="1" customWidth="1"/>
    <col min="20" max="20" width="7.7109375" style="1449" customWidth="1"/>
    <col min="21" max="21" width="7.28515625" style="1449" bestFit="1" customWidth="1"/>
    <col min="22" max="22" width="7.7109375" style="1449" customWidth="1"/>
    <col min="23" max="23" width="7.28515625" style="1449" bestFit="1" customWidth="1"/>
    <col min="24" max="24" width="7.42578125" style="1449" customWidth="1"/>
    <col min="25" max="25" width="7.28515625" style="1449" bestFit="1" customWidth="1"/>
    <col min="26" max="26" width="7.7109375" style="1449" customWidth="1"/>
    <col min="27" max="27" width="7.28515625" style="1449" bestFit="1" customWidth="1"/>
    <col min="28" max="28" width="7.42578125" style="1449" customWidth="1"/>
    <col min="29" max="29" width="7.28515625" style="1449" bestFit="1" customWidth="1"/>
    <col min="30" max="30" width="7.7109375" style="1449" customWidth="1"/>
    <col min="31" max="31" width="7.28515625" style="1449" bestFit="1" customWidth="1"/>
    <col min="32" max="32" width="7.5703125" style="1449" customWidth="1"/>
    <col min="33" max="33" width="7.28515625" style="1449" bestFit="1" customWidth="1"/>
    <col min="34" max="34" width="10.7109375" style="1449" customWidth="1"/>
    <col min="35" max="35" width="7.42578125" style="1449" customWidth="1"/>
    <col min="36" max="36" width="7.28515625" style="1449" bestFit="1" customWidth="1"/>
    <col min="37" max="37" width="7.7109375" style="1449" customWidth="1"/>
    <col min="38" max="38" width="7.28515625" style="1449" bestFit="1" customWidth="1"/>
    <col min="39" max="39" width="7.42578125" style="1449" customWidth="1"/>
    <col min="40" max="40" width="7.28515625" style="1449" bestFit="1" customWidth="1"/>
    <col min="41" max="41" width="7.42578125" style="1449" customWidth="1"/>
    <col min="42" max="42" width="7.28515625" style="1449" bestFit="1" customWidth="1"/>
    <col min="43" max="43" width="7.28515625" style="1449" customWidth="1"/>
    <col min="44" max="44" width="4.85546875" style="1449" customWidth="1"/>
    <col min="45" max="45" width="7.28515625" style="1449" customWidth="1"/>
    <col min="46" max="46" width="8.42578125" style="1449" customWidth="1"/>
    <col min="47" max="47" width="7.42578125" style="1449" customWidth="1"/>
    <col min="48" max="48" width="7.28515625" style="1449" bestFit="1" customWidth="1"/>
    <col min="49" max="49" width="8" style="1449" customWidth="1"/>
    <col min="50" max="50" width="6.42578125" style="1449" bestFit="1" customWidth="1"/>
    <col min="51" max="51" width="7.7109375" style="1449" customWidth="1"/>
    <col min="52" max="52" width="6.42578125" style="1449" bestFit="1" customWidth="1"/>
    <col min="53" max="53" width="9" style="1449" customWidth="1"/>
    <col min="54" max="54" width="8.28515625" style="1449" customWidth="1"/>
    <col min="55" max="55" width="7" style="1449" customWidth="1"/>
    <col min="56" max="56" width="7.7109375" style="1449" customWidth="1"/>
    <col min="57" max="57" width="6.7109375" style="1449" bestFit="1" customWidth="1"/>
    <col min="58" max="58" width="8" style="1449" customWidth="1"/>
    <col min="59" max="59" width="6.7109375" style="1449" bestFit="1" customWidth="1"/>
    <col min="60" max="60" width="9.85546875" style="1449" customWidth="1"/>
    <col min="61" max="61" width="11.140625" style="1449" customWidth="1"/>
    <col min="62" max="62" width="11" style="1449" customWidth="1"/>
    <col min="63" max="63" width="10" style="1449" customWidth="1"/>
    <col min="64" max="64" width="4.42578125" style="1449" customWidth="1"/>
    <col min="65" max="65" width="9.7109375" style="1449" customWidth="1"/>
    <col min="66" max="66" width="7.85546875" style="1449" customWidth="1"/>
    <col min="67" max="67" width="5.28515625" style="1449" customWidth="1"/>
    <col min="68" max="68" width="7.5703125" style="1449" customWidth="1"/>
    <col min="69" max="69" width="9" style="1449" bestFit="1" customWidth="1"/>
    <col min="70" max="16384" width="11.42578125" style="1449"/>
  </cols>
  <sheetData>
    <row r="1" spans="1:69" s="1362" customFormat="1" ht="12" customHeight="1" x14ac:dyDescent="0.3">
      <c r="A1" s="622"/>
      <c r="B1" s="622"/>
      <c r="C1" s="622"/>
      <c r="D1" s="622"/>
      <c r="E1" s="622"/>
      <c r="F1" s="622"/>
      <c r="G1" s="622"/>
      <c r="H1" s="622"/>
      <c r="I1" s="622"/>
      <c r="J1" s="622"/>
      <c r="K1" s="622"/>
      <c r="L1" s="622"/>
      <c r="M1" s="622"/>
      <c r="N1" s="622"/>
      <c r="O1" s="622"/>
      <c r="P1" s="622"/>
      <c r="Q1" s="622"/>
      <c r="R1" s="622"/>
      <c r="S1" s="622"/>
      <c r="T1" s="622"/>
      <c r="U1" s="622"/>
      <c r="V1" s="622"/>
      <c r="W1" s="622"/>
      <c r="X1" s="622"/>
      <c r="Y1" s="622"/>
      <c r="Z1" s="622"/>
      <c r="AA1" s="622"/>
      <c r="AB1" s="622"/>
      <c r="AC1" s="622"/>
      <c r="AD1" s="622"/>
      <c r="AE1" s="622"/>
      <c r="AF1" s="622"/>
      <c r="AG1" s="622"/>
      <c r="AH1" s="622"/>
      <c r="AI1" s="622"/>
      <c r="AJ1" s="622"/>
      <c r="AK1" s="622"/>
      <c r="AL1" s="622"/>
      <c r="AM1" s="622"/>
      <c r="AN1" s="622"/>
      <c r="AO1" s="622"/>
      <c r="AP1" s="622"/>
      <c r="AQ1" s="622"/>
      <c r="AR1" s="622"/>
      <c r="AS1" s="622"/>
      <c r="AT1" s="622"/>
      <c r="AU1" s="622"/>
      <c r="AV1" s="622"/>
      <c r="AW1" s="622"/>
      <c r="AX1" s="622"/>
      <c r="AY1" s="622"/>
      <c r="AZ1" s="622"/>
      <c r="BA1" s="622"/>
      <c r="BB1" s="622"/>
      <c r="BC1" s="622"/>
      <c r="BD1" s="622"/>
      <c r="BE1" s="622"/>
      <c r="BF1" s="622"/>
      <c r="BG1" s="622"/>
    </row>
    <row r="2" spans="1:69" s="1362" customFormat="1" ht="12" customHeight="1" x14ac:dyDescent="0.3">
      <c r="A2" s="622"/>
      <c r="B2" s="622"/>
      <c r="C2" s="622"/>
      <c r="D2" s="622"/>
      <c r="E2" s="622"/>
      <c r="F2" s="622"/>
      <c r="G2" s="622"/>
      <c r="H2" s="622"/>
      <c r="I2" s="622"/>
      <c r="J2" s="622"/>
      <c r="K2" s="622"/>
      <c r="L2" s="622"/>
      <c r="M2" s="622"/>
      <c r="N2" s="622"/>
      <c r="O2" s="622"/>
      <c r="P2" s="622"/>
      <c r="Q2" s="622"/>
      <c r="R2" s="622"/>
      <c r="S2" s="622"/>
      <c r="T2" s="622"/>
      <c r="U2" s="622"/>
      <c r="V2" s="622"/>
      <c r="W2" s="622"/>
      <c r="X2" s="622"/>
      <c r="Y2" s="622"/>
      <c r="Z2" s="622"/>
      <c r="AA2" s="622"/>
      <c r="AB2" s="622"/>
      <c r="AC2" s="622"/>
      <c r="AD2" s="622"/>
      <c r="AE2" s="622"/>
      <c r="AF2" s="622"/>
      <c r="AG2" s="622"/>
      <c r="AH2" s="622"/>
      <c r="AI2" s="622"/>
      <c r="AJ2" s="622"/>
      <c r="AK2" s="622"/>
      <c r="AL2" s="622"/>
      <c r="AM2" s="622"/>
      <c r="AN2" s="622"/>
      <c r="AO2" s="622"/>
      <c r="AP2" s="622"/>
      <c r="AQ2" s="622"/>
      <c r="AR2" s="622"/>
      <c r="AS2" s="622"/>
      <c r="AT2" s="622"/>
      <c r="AU2" s="622"/>
      <c r="AV2" s="622"/>
      <c r="AW2" s="622"/>
      <c r="AX2" s="622"/>
      <c r="AY2" s="622"/>
      <c r="AZ2" s="622"/>
      <c r="BA2" s="622"/>
      <c r="BB2" s="622"/>
      <c r="BC2" s="622"/>
      <c r="BD2" s="622"/>
      <c r="BE2" s="622"/>
      <c r="BF2" s="622"/>
      <c r="BG2" s="622"/>
    </row>
    <row r="3" spans="1:69" s="1362" customFormat="1" ht="12" customHeight="1" x14ac:dyDescent="0.3">
      <c r="A3" s="622"/>
      <c r="B3" s="622"/>
      <c r="C3" s="622"/>
      <c r="D3" s="622"/>
      <c r="E3" s="622"/>
      <c r="F3" s="622"/>
      <c r="G3" s="622"/>
      <c r="H3" s="622"/>
      <c r="I3" s="622"/>
      <c r="J3" s="622"/>
      <c r="K3" s="622"/>
      <c r="L3" s="622"/>
      <c r="M3" s="622"/>
      <c r="N3" s="622"/>
      <c r="O3" s="622"/>
      <c r="P3" s="622"/>
      <c r="Q3" s="622"/>
      <c r="R3" s="622"/>
      <c r="S3" s="622"/>
      <c r="T3" s="622"/>
      <c r="U3" s="622"/>
      <c r="V3" s="622"/>
      <c r="W3" s="622"/>
      <c r="X3" s="622"/>
      <c r="Y3" s="622"/>
      <c r="Z3" s="622"/>
      <c r="AA3" s="622"/>
      <c r="AB3" s="622"/>
      <c r="AC3" s="622"/>
      <c r="AD3" s="622"/>
      <c r="AE3" s="622"/>
      <c r="AF3" s="622"/>
      <c r="AG3" s="622"/>
      <c r="AH3" s="622"/>
      <c r="AI3" s="622"/>
      <c r="AJ3" s="622"/>
      <c r="AK3" s="622"/>
      <c r="AL3" s="622"/>
      <c r="AM3" s="622"/>
      <c r="AN3" s="622"/>
      <c r="AO3" s="622"/>
      <c r="AP3" s="622"/>
      <c r="AQ3" s="622"/>
      <c r="AR3" s="622"/>
      <c r="AS3" s="622"/>
      <c r="AT3" s="622"/>
      <c r="AU3" s="622"/>
      <c r="AV3" s="622"/>
      <c r="AW3" s="622"/>
      <c r="AX3" s="622"/>
      <c r="AY3" s="622"/>
      <c r="AZ3" s="622"/>
      <c r="BA3" s="622"/>
      <c r="BB3" s="622"/>
      <c r="BC3" s="622"/>
      <c r="BD3" s="622"/>
      <c r="BE3" s="622"/>
      <c r="BF3" s="622"/>
      <c r="BG3" s="622"/>
    </row>
    <row r="4" spans="1:69" s="1362" customFormat="1" ht="12" customHeight="1" x14ac:dyDescent="0.3">
      <c r="A4" s="622"/>
      <c r="B4" s="622"/>
      <c r="C4" s="622"/>
      <c r="D4" s="622"/>
      <c r="E4" s="622"/>
      <c r="F4" s="622"/>
      <c r="G4" s="622"/>
      <c r="H4" s="622"/>
      <c r="I4" s="622"/>
      <c r="J4" s="622"/>
      <c r="K4" s="622"/>
      <c r="L4" s="622"/>
      <c r="M4" s="622"/>
      <c r="N4" s="622"/>
      <c r="O4" s="622"/>
      <c r="P4" s="622"/>
      <c r="Q4" s="622"/>
      <c r="R4" s="622"/>
      <c r="S4" s="622"/>
      <c r="T4" s="622"/>
      <c r="U4" s="622"/>
      <c r="V4" s="622"/>
      <c r="W4" s="622"/>
      <c r="X4" s="622"/>
      <c r="Y4" s="622"/>
      <c r="Z4" s="622"/>
      <c r="AA4" s="622"/>
      <c r="AB4" s="622"/>
      <c r="AC4" s="622"/>
      <c r="AD4" s="622"/>
      <c r="AE4" s="622"/>
      <c r="AF4" s="622"/>
      <c r="AG4" s="622"/>
      <c r="AH4" s="622"/>
      <c r="AI4" s="622"/>
      <c r="AJ4" s="622"/>
      <c r="AK4" s="622"/>
      <c r="AL4" s="622"/>
      <c r="AM4" s="622"/>
      <c r="AN4" s="622"/>
      <c r="AO4" s="622"/>
      <c r="AP4" s="622"/>
      <c r="AQ4" s="622"/>
      <c r="AR4" s="622"/>
      <c r="AS4" s="622"/>
      <c r="AT4" s="622"/>
      <c r="AU4" s="622"/>
      <c r="AV4" s="622"/>
      <c r="AW4" s="622"/>
      <c r="AX4" s="622"/>
      <c r="AY4" s="622"/>
      <c r="AZ4" s="622"/>
      <c r="BA4" s="622"/>
      <c r="BB4" s="622"/>
      <c r="BC4" s="622"/>
      <c r="BD4" s="622"/>
      <c r="BE4" s="622"/>
      <c r="BF4" s="622"/>
      <c r="BG4" s="622"/>
    </row>
    <row r="5" spans="1:69" s="1362" customFormat="1" x14ac:dyDescent="0.3">
      <c r="B5" s="702" t="s">
        <v>305</v>
      </c>
      <c r="D5" s="704" t="s">
        <v>516</v>
      </c>
      <c r="E5" s="703"/>
      <c r="F5" s="703"/>
      <c r="G5" s="703"/>
      <c r="H5" s="703"/>
      <c r="I5" s="703"/>
      <c r="J5" s="703"/>
      <c r="K5" s="703"/>
      <c r="L5" s="703"/>
      <c r="M5" s="703"/>
      <c r="N5" s="703"/>
      <c r="O5" s="703"/>
      <c r="P5" s="703"/>
      <c r="Q5" s="703"/>
      <c r="R5" s="703"/>
      <c r="S5" s="703"/>
      <c r="T5" s="703"/>
      <c r="U5" s="703"/>
      <c r="V5" s="703"/>
      <c r="W5" s="703"/>
      <c r="X5" s="703"/>
      <c r="Y5" s="703"/>
      <c r="Z5" s="703"/>
      <c r="AA5" s="703"/>
      <c r="AB5" s="703"/>
      <c r="AC5" s="703"/>
      <c r="AD5" s="703"/>
      <c r="AE5" s="703"/>
      <c r="AF5" s="703"/>
      <c r="AG5" s="703"/>
      <c r="AH5" s="703"/>
      <c r="AI5" s="703"/>
      <c r="AJ5" s="703"/>
      <c r="AK5" s="703"/>
      <c r="AL5" s="703"/>
      <c r="AM5" s="703"/>
      <c r="AN5" s="703"/>
      <c r="AO5" s="703"/>
      <c r="AP5" s="703"/>
      <c r="AQ5" s="703"/>
      <c r="AR5" s="703"/>
      <c r="AS5" s="703"/>
      <c r="AT5" s="703"/>
      <c r="AU5" s="703"/>
      <c r="AV5" s="703"/>
      <c r="AW5" s="703"/>
      <c r="AX5" s="703"/>
      <c r="AY5" s="703"/>
      <c r="AZ5" s="703"/>
      <c r="BA5" s="703"/>
      <c r="BB5" s="703"/>
      <c r="BC5" s="703"/>
      <c r="BD5" s="703"/>
      <c r="BE5" s="703"/>
      <c r="BF5" s="703"/>
      <c r="BG5" s="703"/>
    </row>
    <row r="6" spans="1:69" s="1362" customFormat="1" x14ac:dyDescent="0.3">
      <c r="B6" s="702" t="s">
        <v>306</v>
      </c>
      <c r="D6" s="705">
        <v>43517</v>
      </c>
      <c r="E6" s="703"/>
      <c r="F6" s="703"/>
      <c r="G6" s="703"/>
      <c r="H6" s="703"/>
      <c r="I6" s="703"/>
      <c r="J6" s="703"/>
      <c r="K6" s="703"/>
      <c r="L6" s="703"/>
      <c r="M6" s="703"/>
      <c r="N6" s="703"/>
      <c r="O6" s="703"/>
      <c r="P6" s="703"/>
      <c r="Q6" s="703"/>
      <c r="R6" s="703"/>
      <c r="S6" s="703"/>
      <c r="T6" s="703"/>
      <c r="U6" s="703"/>
      <c r="V6" s="703"/>
      <c r="W6" s="703"/>
      <c r="X6" s="703"/>
      <c r="Y6" s="703"/>
      <c r="Z6" s="703"/>
      <c r="AA6" s="703"/>
      <c r="AB6" s="703"/>
      <c r="AC6" s="703"/>
      <c r="AD6" s="703"/>
      <c r="AE6" s="703"/>
      <c r="AF6" s="703"/>
      <c r="AG6" s="703"/>
      <c r="AH6" s="703"/>
      <c r="AI6" s="703"/>
      <c r="AJ6" s="703"/>
      <c r="AK6" s="703"/>
      <c r="AL6" s="703"/>
      <c r="AM6" s="703"/>
      <c r="AN6" s="703"/>
      <c r="AO6" s="703"/>
      <c r="AP6" s="703"/>
      <c r="AQ6" s="703"/>
      <c r="AR6" s="703"/>
      <c r="AS6" s="703"/>
      <c r="AT6" s="703"/>
      <c r="AU6" s="703"/>
      <c r="AV6" s="703"/>
      <c r="AW6" s="703"/>
      <c r="AX6" s="703"/>
      <c r="AY6" s="703"/>
      <c r="AZ6" s="703"/>
      <c r="BA6" s="703"/>
      <c r="BB6" s="703"/>
      <c r="BC6" s="703"/>
      <c r="BD6" s="703"/>
      <c r="BE6" s="703"/>
      <c r="BF6" s="703"/>
      <c r="BG6" s="703"/>
    </row>
    <row r="7" spans="1:69" s="1362" customFormat="1" x14ac:dyDescent="0.3">
      <c r="B7" s="702" t="s">
        <v>307</v>
      </c>
      <c r="D7" s="657" t="s">
        <v>309</v>
      </c>
      <c r="E7" s="703"/>
      <c r="F7" s="703"/>
      <c r="G7" s="703"/>
      <c r="H7" s="703"/>
      <c r="I7" s="703"/>
      <c r="J7" s="703"/>
      <c r="K7" s="703"/>
      <c r="L7" s="703"/>
      <c r="M7" s="703"/>
      <c r="N7" s="703"/>
      <c r="O7" s="703"/>
      <c r="P7" s="703"/>
      <c r="Q7" s="703"/>
      <c r="R7" s="703"/>
      <c r="S7" s="703"/>
      <c r="T7" s="703"/>
      <c r="U7" s="703"/>
      <c r="V7" s="703"/>
      <c r="W7" s="703"/>
      <c r="X7" s="703"/>
      <c r="Y7" s="703"/>
      <c r="Z7" s="703"/>
      <c r="AA7" s="703"/>
      <c r="AB7" s="703"/>
      <c r="AC7" s="703"/>
      <c r="AD7" s="703"/>
      <c r="AE7" s="703"/>
      <c r="AF7" s="703"/>
      <c r="AG7" s="703"/>
      <c r="AH7" s="703"/>
      <c r="AI7" s="703"/>
      <c r="AJ7" s="703"/>
      <c r="AK7" s="703"/>
      <c r="AL7" s="703"/>
      <c r="AM7" s="703"/>
      <c r="AN7" s="703"/>
      <c r="AO7" s="703"/>
      <c r="AP7" s="703"/>
      <c r="AQ7" s="703"/>
      <c r="AR7" s="703"/>
      <c r="AS7" s="703"/>
      <c r="AT7" s="703"/>
      <c r="AU7" s="703"/>
      <c r="AV7" s="703"/>
      <c r="AW7" s="703"/>
      <c r="AX7" s="703"/>
      <c r="AY7" s="703"/>
      <c r="AZ7" s="703"/>
      <c r="BA7" s="703"/>
      <c r="BB7" s="703"/>
      <c r="BC7" s="703"/>
      <c r="BD7" s="703"/>
      <c r="BE7" s="703"/>
      <c r="BF7" s="703"/>
      <c r="BG7" s="703"/>
    </row>
    <row r="8" spans="1:69" s="1362" customFormat="1" ht="17.25" thickBot="1" x14ac:dyDescent="0.35"/>
    <row r="9" spans="1:69" s="1422" customFormat="1" ht="38.25" x14ac:dyDescent="0.15">
      <c r="B9" s="1756"/>
      <c r="C9" s="1762" t="s">
        <v>412</v>
      </c>
      <c r="D9" s="1983" t="s">
        <v>413</v>
      </c>
      <c r="E9" s="1984"/>
      <c r="F9" s="1985" t="s">
        <v>467</v>
      </c>
      <c r="G9" s="1949"/>
      <c r="H9" s="1949" t="s">
        <v>468</v>
      </c>
      <c r="I9" s="1949"/>
      <c r="J9" s="1950" t="s">
        <v>469</v>
      </c>
      <c r="K9" s="1950"/>
      <c r="L9" s="1951" t="s">
        <v>415</v>
      </c>
      <c r="M9" s="1986"/>
      <c r="N9" s="1981" t="s">
        <v>416</v>
      </c>
      <c r="O9" s="1982"/>
      <c r="P9" s="1970" t="s">
        <v>417</v>
      </c>
      <c r="Q9" s="1971"/>
      <c r="R9" s="1971" t="s">
        <v>417</v>
      </c>
      <c r="S9" s="1971"/>
      <c r="T9" s="1971" t="s">
        <v>417</v>
      </c>
      <c r="U9" s="1972"/>
      <c r="V9" s="1973" t="s">
        <v>418</v>
      </c>
      <c r="W9" s="1944"/>
      <c r="X9" s="1944" t="s">
        <v>419</v>
      </c>
      <c r="Y9" s="1974"/>
      <c r="Z9" s="1975" t="s">
        <v>420</v>
      </c>
      <c r="AA9" s="1945"/>
      <c r="AB9" s="1945" t="s">
        <v>420</v>
      </c>
      <c r="AC9" s="1976"/>
      <c r="AD9" s="1959" t="s">
        <v>421</v>
      </c>
      <c r="AE9" s="1939"/>
      <c r="AF9" s="1939" t="s">
        <v>421</v>
      </c>
      <c r="AG9" s="1977"/>
      <c r="AH9" s="1809" t="s">
        <v>422</v>
      </c>
      <c r="AI9" s="1978" t="s">
        <v>423</v>
      </c>
      <c r="AJ9" s="1955"/>
      <c r="AK9" s="1979" t="s">
        <v>424</v>
      </c>
      <c r="AL9" s="1980"/>
      <c r="AM9" s="1968" t="s">
        <v>425</v>
      </c>
      <c r="AN9" s="1969"/>
      <c r="AO9" s="1959" t="s">
        <v>426</v>
      </c>
      <c r="AP9" s="1939"/>
      <c r="AQ9" s="1939" t="s">
        <v>427</v>
      </c>
      <c r="AR9" s="1939"/>
      <c r="AS9" s="1588" t="s">
        <v>427</v>
      </c>
      <c r="AT9" s="1818" t="s">
        <v>428</v>
      </c>
      <c r="AU9" s="1960" t="s">
        <v>429</v>
      </c>
      <c r="AV9" s="1961"/>
      <c r="AW9" s="1962" t="s">
        <v>430</v>
      </c>
      <c r="AX9" s="1963"/>
      <c r="AY9" s="1964" t="s">
        <v>431</v>
      </c>
      <c r="AZ9" s="1965"/>
      <c r="BA9" s="1829" t="s">
        <v>432</v>
      </c>
      <c r="BB9" s="1966" t="s">
        <v>433</v>
      </c>
      <c r="BC9" s="1967"/>
      <c r="BD9" s="1952" t="s">
        <v>434</v>
      </c>
      <c r="BE9" s="1953"/>
      <c r="BF9" s="1954" t="s">
        <v>435</v>
      </c>
      <c r="BG9" s="1955"/>
      <c r="BH9" s="1842" t="s">
        <v>436</v>
      </c>
      <c r="BI9" s="1416" t="s">
        <v>437</v>
      </c>
      <c r="BJ9" s="1845" t="s">
        <v>438</v>
      </c>
      <c r="BK9" s="1956" t="s">
        <v>439</v>
      </c>
      <c r="BL9" s="1957"/>
      <c r="BM9" s="1958" t="s">
        <v>470</v>
      </c>
      <c r="BN9" s="1937"/>
      <c r="BO9" s="1937"/>
      <c r="BP9" s="1938"/>
    </row>
    <row r="10" spans="1:69" s="1422" customFormat="1" ht="51" customHeight="1" thickBot="1" x14ac:dyDescent="0.2">
      <c r="B10" s="1757" t="s">
        <v>210</v>
      </c>
      <c r="C10" s="1763" t="s">
        <v>441</v>
      </c>
      <c r="D10" s="1644" t="s">
        <v>442</v>
      </c>
      <c r="E10" s="1785" t="s">
        <v>5</v>
      </c>
      <c r="F10" s="1793" t="s">
        <v>443</v>
      </c>
      <c r="G10" s="1645" t="s">
        <v>5</v>
      </c>
      <c r="H10" s="1646" t="s">
        <v>443</v>
      </c>
      <c r="I10" s="1645" t="s">
        <v>5</v>
      </c>
      <c r="J10" s="1646" t="s">
        <v>443</v>
      </c>
      <c r="K10" s="1645" t="s">
        <v>5</v>
      </c>
      <c r="L10" s="1423" t="s">
        <v>444</v>
      </c>
      <c r="M10" s="1794" t="s">
        <v>5</v>
      </c>
      <c r="N10" s="1789" t="s">
        <v>83</v>
      </c>
      <c r="O10" s="1785" t="s">
        <v>5</v>
      </c>
      <c r="P10" s="1802" t="s">
        <v>444</v>
      </c>
      <c r="Q10" s="1645" t="s">
        <v>5</v>
      </c>
      <c r="R10" s="1647" t="s">
        <v>445</v>
      </c>
      <c r="S10" s="1645" t="s">
        <v>5</v>
      </c>
      <c r="T10" s="1647" t="s">
        <v>446</v>
      </c>
      <c r="U10" s="1794" t="s">
        <v>5</v>
      </c>
      <c r="V10" s="1801" t="s">
        <v>447</v>
      </c>
      <c r="W10" s="1645" t="s">
        <v>5</v>
      </c>
      <c r="X10" s="1648" t="s">
        <v>448</v>
      </c>
      <c r="Y10" s="1785" t="s">
        <v>5</v>
      </c>
      <c r="Z10" s="1804" t="s">
        <v>447</v>
      </c>
      <c r="AA10" s="1645" t="s">
        <v>5</v>
      </c>
      <c r="AB10" s="1649" t="s">
        <v>448</v>
      </c>
      <c r="AC10" s="1794" t="s">
        <v>5</v>
      </c>
      <c r="AD10" s="1803" t="s">
        <v>447</v>
      </c>
      <c r="AE10" s="1645" t="s">
        <v>5</v>
      </c>
      <c r="AF10" s="1650" t="s">
        <v>448</v>
      </c>
      <c r="AG10" s="1785" t="s">
        <v>5</v>
      </c>
      <c r="AH10" s="1810" t="s">
        <v>449</v>
      </c>
      <c r="AI10" s="1651" t="s">
        <v>91</v>
      </c>
      <c r="AJ10" s="1794" t="s">
        <v>5</v>
      </c>
      <c r="AK10" s="1805" t="s">
        <v>91</v>
      </c>
      <c r="AL10" s="1785" t="s">
        <v>5</v>
      </c>
      <c r="AM10" s="1814" t="s">
        <v>91</v>
      </c>
      <c r="AN10" s="1794" t="s">
        <v>5</v>
      </c>
      <c r="AO10" s="1803" t="s">
        <v>450</v>
      </c>
      <c r="AP10" s="1645" t="s">
        <v>5</v>
      </c>
      <c r="AQ10" s="1650" t="s">
        <v>447</v>
      </c>
      <c r="AR10" s="1645" t="s">
        <v>5</v>
      </c>
      <c r="AS10" s="1650" t="s">
        <v>448</v>
      </c>
      <c r="AT10" s="1819" t="s">
        <v>442</v>
      </c>
      <c r="AU10" s="1824" t="s">
        <v>75</v>
      </c>
      <c r="AV10" s="1825" t="s">
        <v>5</v>
      </c>
      <c r="AW10" s="1823" t="s">
        <v>451</v>
      </c>
      <c r="AX10" s="1826" t="s">
        <v>5</v>
      </c>
      <c r="AY10" s="1827" t="s">
        <v>451</v>
      </c>
      <c r="AZ10" s="1828" t="s">
        <v>5</v>
      </c>
      <c r="BA10" s="1830" t="s">
        <v>441</v>
      </c>
      <c r="BB10" s="1835" t="s">
        <v>452</v>
      </c>
      <c r="BC10" s="1828" t="s">
        <v>5</v>
      </c>
      <c r="BD10" s="1834" t="s">
        <v>452</v>
      </c>
      <c r="BE10" s="1826" t="s">
        <v>5</v>
      </c>
      <c r="BF10" s="1844" t="s">
        <v>453</v>
      </c>
      <c r="BG10" s="1828" t="s">
        <v>5</v>
      </c>
      <c r="BH10" s="1843" t="s">
        <v>454</v>
      </c>
      <c r="BI10" s="1642" t="s">
        <v>454</v>
      </c>
      <c r="BJ10" s="1846" t="s">
        <v>454</v>
      </c>
      <c r="BK10" s="1851" t="s">
        <v>455</v>
      </c>
      <c r="BL10" s="1852" t="s">
        <v>5</v>
      </c>
      <c r="BM10" s="1850" t="s">
        <v>481</v>
      </c>
      <c r="BN10" s="1643" t="s">
        <v>471</v>
      </c>
      <c r="BO10" s="1641" t="s">
        <v>5</v>
      </c>
      <c r="BP10" s="1774" t="s">
        <v>472</v>
      </c>
      <c r="BQ10" s="1422" t="s">
        <v>343</v>
      </c>
    </row>
    <row r="11" spans="1:69" s="1432" customFormat="1" ht="13.5" x14ac:dyDescent="0.25">
      <c r="A11" s="1424">
        <v>91</v>
      </c>
      <c r="B11" s="1758" t="s">
        <v>12</v>
      </c>
      <c r="C11" s="1772">
        <v>1700</v>
      </c>
      <c r="D11" s="1775">
        <v>1510</v>
      </c>
      <c r="E11" s="1786">
        <f t="shared" ref="E11:I49" si="0">ROUND(D11/$C11*100,1)</f>
        <v>88.8</v>
      </c>
      <c r="F11" s="1795">
        <v>1064</v>
      </c>
      <c r="G11" s="1776">
        <f t="shared" si="0"/>
        <v>62.6</v>
      </c>
      <c r="H11" s="1777">
        <v>307</v>
      </c>
      <c r="I11" s="1776">
        <f t="shared" si="0"/>
        <v>18.100000000000001</v>
      </c>
      <c r="J11" s="1777">
        <v>1371</v>
      </c>
      <c r="K11" s="1776">
        <f t="shared" ref="K11:K49" si="1">ROUND(J11/$C11*100,1)</f>
        <v>80.599999999999994</v>
      </c>
      <c r="L11" s="1778">
        <v>1482</v>
      </c>
      <c r="M11" s="1796">
        <f t="shared" ref="M11:O49" si="2">ROUND(L11/$C11*100,1)</f>
        <v>87.2</v>
      </c>
      <c r="N11" s="1790">
        <v>1422</v>
      </c>
      <c r="O11" s="1786">
        <f t="shared" si="2"/>
        <v>83.6</v>
      </c>
      <c r="P11" s="1775">
        <v>1482</v>
      </c>
      <c r="Q11" s="1776">
        <f t="shared" ref="Q11:Q49" si="3">ROUND(P11/$C11*100,1)</f>
        <v>87.2</v>
      </c>
      <c r="R11" s="1778">
        <v>1454</v>
      </c>
      <c r="S11" s="1776">
        <f t="shared" ref="S11:S49" si="4">ROUND(R11/$C11*100,1)</f>
        <v>85.5</v>
      </c>
      <c r="T11" s="1778">
        <v>1429</v>
      </c>
      <c r="U11" s="1796">
        <f>ROUND(T11/$C11*100,2)</f>
        <v>84.06</v>
      </c>
      <c r="V11" s="1790">
        <v>1374</v>
      </c>
      <c r="W11" s="1776">
        <f t="shared" ref="W11:W49" si="5">ROUND(V11/C11*100,1)</f>
        <v>80.8</v>
      </c>
      <c r="X11" s="1778">
        <v>1382</v>
      </c>
      <c r="Y11" s="1786">
        <f t="shared" ref="Y11:Y49" si="6">ROUND(X11/$C11*100,1)</f>
        <v>81.3</v>
      </c>
      <c r="Z11" s="1795">
        <v>1364</v>
      </c>
      <c r="AA11" s="1776">
        <f>ROUND(Z11/($C11/12*9)*100,1)</f>
        <v>107</v>
      </c>
      <c r="AB11" s="1779">
        <v>1107</v>
      </c>
      <c r="AC11" s="1796">
        <f>ROUND(AB11/($C11/12*9)*100,1)</f>
        <v>86.8</v>
      </c>
      <c r="AD11" s="1790">
        <v>1477</v>
      </c>
      <c r="AE11" s="1776">
        <f t="shared" ref="AE11:AE49" si="7">ROUND(AD11/$C11*100,1)</f>
        <v>86.9</v>
      </c>
      <c r="AF11" s="1778">
        <v>1459</v>
      </c>
      <c r="AG11" s="1786">
        <f t="shared" ref="AG11:AG49" si="8">ROUND(AF11/$C11*100,1)</f>
        <v>85.8</v>
      </c>
      <c r="AH11" s="1811">
        <v>1761</v>
      </c>
      <c r="AI11" s="1778">
        <v>1550</v>
      </c>
      <c r="AJ11" s="1796">
        <f>ROUND(AI11/$AH11*100,1)</f>
        <v>88</v>
      </c>
      <c r="AK11" s="1806">
        <v>1515</v>
      </c>
      <c r="AL11" s="1786">
        <f>ROUND(AK11/$AH11*100,1)</f>
        <v>86</v>
      </c>
      <c r="AM11" s="1815">
        <v>1579</v>
      </c>
      <c r="AN11" s="1796">
        <f t="shared" ref="AN11:AN49" si="9">ROUND(AM11/$AH11*100,1)</f>
        <v>89.7</v>
      </c>
      <c r="AO11" s="1790">
        <v>1541</v>
      </c>
      <c r="AP11" s="1776">
        <f t="shared" ref="AP11:AP49" si="10">ROUND(AO11/$AH11*100,1)</f>
        <v>87.5</v>
      </c>
      <c r="AQ11" s="1780">
        <v>5</v>
      </c>
      <c r="AR11" s="1776">
        <f>AQ11/$AH$11*100</f>
        <v>0.28392958546280522</v>
      </c>
      <c r="AS11" s="1780">
        <v>21</v>
      </c>
      <c r="AT11" s="1820">
        <v>24</v>
      </c>
      <c r="AU11" s="1775">
        <v>1850</v>
      </c>
      <c r="AV11" s="1796">
        <f>ROUND(AU11/$AH11*100,1)</f>
        <v>105.1</v>
      </c>
      <c r="AW11" s="1790">
        <v>1374</v>
      </c>
      <c r="AX11" s="1786">
        <f t="shared" ref="AX11:AX49" si="11">ROUND(AW11/$AH11*100,1)</f>
        <v>78</v>
      </c>
      <c r="AY11" s="1775">
        <v>1375</v>
      </c>
      <c r="AZ11" s="1796">
        <f t="shared" ref="AZ11:AZ49" si="12">ROUND(AY11/$AH11*100,1)</f>
        <v>78.099999999999994</v>
      </c>
      <c r="BA11" s="1831">
        <v>1976</v>
      </c>
      <c r="BB11" s="1775">
        <v>1390</v>
      </c>
      <c r="BC11" s="1836">
        <f t="shared" ref="BC11:BC49" si="13">ROUND(BB11/$BA11*100,1)</f>
        <v>70.3</v>
      </c>
      <c r="BD11" s="1790">
        <v>1388</v>
      </c>
      <c r="BE11" s="1839">
        <f t="shared" ref="BE11:BE49" si="14">ROUND(BD11/$BA11*100,1)</f>
        <v>70.2</v>
      </c>
      <c r="BF11" s="1775">
        <v>1385</v>
      </c>
      <c r="BG11" s="1836">
        <f t="shared" ref="BG11:BG49" si="15">ROUND(BF11/$BA11*100,1)</f>
        <v>70.099999999999994</v>
      </c>
      <c r="BH11" s="1790">
        <v>1481</v>
      </c>
      <c r="BI11" s="1778">
        <v>1621</v>
      </c>
      <c r="BJ11" s="1847">
        <v>870</v>
      </c>
      <c r="BK11" s="1775">
        <v>1093</v>
      </c>
      <c r="BL11" s="1853">
        <f>ROUND(BK11/C11*100,1)</f>
        <v>64.3</v>
      </c>
      <c r="BM11" s="1790">
        <v>635</v>
      </c>
      <c r="BN11" s="1778">
        <v>401</v>
      </c>
      <c r="BO11" s="1781">
        <f>BN11/BM11*100</f>
        <v>63.1496062992126</v>
      </c>
      <c r="BP11" s="1782">
        <v>78</v>
      </c>
      <c r="BQ11" s="1432" t="s">
        <v>344</v>
      </c>
    </row>
    <row r="12" spans="1:69" s="1432" customFormat="1" ht="13.5" x14ac:dyDescent="0.25">
      <c r="A12" s="1424" t="s">
        <v>141</v>
      </c>
      <c r="B12" s="1758" t="s">
        <v>11</v>
      </c>
      <c r="C12" s="1772">
        <v>78215</v>
      </c>
      <c r="D12" s="1783">
        <v>74320</v>
      </c>
      <c r="E12" s="1787">
        <f t="shared" si="0"/>
        <v>95</v>
      </c>
      <c r="F12" s="1797">
        <v>51232</v>
      </c>
      <c r="G12" s="1426">
        <f t="shared" si="0"/>
        <v>65.5</v>
      </c>
      <c r="H12" s="1427">
        <v>22370</v>
      </c>
      <c r="I12" s="1426">
        <f t="shared" si="0"/>
        <v>28.6</v>
      </c>
      <c r="J12" s="1427">
        <v>73602</v>
      </c>
      <c r="K12" s="1426">
        <f t="shared" si="1"/>
        <v>94.1</v>
      </c>
      <c r="L12" s="1425">
        <v>74066</v>
      </c>
      <c r="M12" s="1798">
        <f t="shared" si="2"/>
        <v>94.7</v>
      </c>
      <c r="N12" s="1791">
        <v>73627</v>
      </c>
      <c r="O12" s="1787">
        <f t="shared" si="2"/>
        <v>94.1</v>
      </c>
      <c r="P12" s="1783">
        <v>74116</v>
      </c>
      <c r="Q12" s="1426">
        <f t="shared" si="3"/>
        <v>94.8</v>
      </c>
      <c r="R12" s="1425">
        <v>74138</v>
      </c>
      <c r="S12" s="1426">
        <f t="shared" si="4"/>
        <v>94.8</v>
      </c>
      <c r="T12" s="1425">
        <v>73535</v>
      </c>
      <c r="U12" s="1798">
        <f>ROUND(T12/$C12*100,2)</f>
        <v>94.02</v>
      </c>
      <c r="V12" s="1791">
        <v>70602</v>
      </c>
      <c r="W12" s="1426">
        <f t="shared" si="5"/>
        <v>90.3</v>
      </c>
      <c r="X12" s="1425">
        <v>71135</v>
      </c>
      <c r="Y12" s="1787">
        <f t="shared" si="6"/>
        <v>90.9</v>
      </c>
      <c r="Z12" s="1797">
        <v>67178</v>
      </c>
      <c r="AA12" s="1426">
        <f>ROUND(Z12/($C12/12*9)*100,1)</f>
        <v>114.5</v>
      </c>
      <c r="AB12" s="1428">
        <v>53732</v>
      </c>
      <c r="AC12" s="1798">
        <f>ROUND(AB12/($C12/12*9)*100,1)</f>
        <v>91.6</v>
      </c>
      <c r="AD12" s="1791">
        <v>74727</v>
      </c>
      <c r="AE12" s="1426">
        <f t="shared" si="7"/>
        <v>95.5</v>
      </c>
      <c r="AF12" s="1425">
        <v>74348</v>
      </c>
      <c r="AG12" s="1787">
        <f t="shared" si="8"/>
        <v>95.1</v>
      </c>
      <c r="AH12" s="1812">
        <v>80134</v>
      </c>
      <c r="AI12" s="1425">
        <v>76809</v>
      </c>
      <c r="AJ12" s="1798">
        <f>ROUND(AI12/$AH12*100,2)</f>
        <v>95.85</v>
      </c>
      <c r="AK12" s="1807">
        <v>76708</v>
      </c>
      <c r="AL12" s="1787">
        <f>ROUND(AK12/$AH12*100,1)</f>
        <v>95.7</v>
      </c>
      <c r="AM12" s="1816">
        <v>68839</v>
      </c>
      <c r="AN12" s="1798">
        <f t="shared" si="9"/>
        <v>85.9</v>
      </c>
      <c r="AO12" s="1791">
        <v>75827</v>
      </c>
      <c r="AP12" s="1426">
        <f t="shared" si="10"/>
        <v>94.6</v>
      </c>
      <c r="AQ12" s="1430">
        <v>670</v>
      </c>
      <c r="AR12" s="1426">
        <f t="shared" ref="AR12:AR45" si="16">AQ12/AH12*100</f>
        <v>0.83609953328175302</v>
      </c>
      <c r="AS12" s="1430">
        <v>1007</v>
      </c>
      <c r="AT12" s="1821">
        <v>3082</v>
      </c>
      <c r="AU12" s="1783">
        <v>78374</v>
      </c>
      <c r="AV12" s="1798">
        <f>ROUND(AU12/$AH12*100,1)</f>
        <v>97.8</v>
      </c>
      <c r="AW12" s="1791">
        <v>69119</v>
      </c>
      <c r="AX12" s="1787">
        <f t="shared" si="11"/>
        <v>86.3</v>
      </c>
      <c r="AY12" s="1783">
        <v>69072</v>
      </c>
      <c r="AZ12" s="1798">
        <f t="shared" si="12"/>
        <v>86.2</v>
      </c>
      <c r="BA12" s="1832">
        <v>85619</v>
      </c>
      <c r="BB12" s="1783">
        <v>73528</v>
      </c>
      <c r="BC12" s="1837">
        <f t="shared" si="13"/>
        <v>85.9</v>
      </c>
      <c r="BD12" s="1791">
        <v>73627</v>
      </c>
      <c r="BE12" s="1840">
        <f t="shared" si="14"/>
        <v>86</v>
      </c>
      <c r="BF12" s="1783">
        <v>74051</v>
      </c>
      <c r="BG12" s="1837">
        <f t="shared" si="15"/>
        <v>86.5</v>
      </c>
      <c r="BH12" s="1791">
        <v>56905</v>
      </c>
      <c r="BI12" s="1425">
        <v>271960</v>
      </c>
      <c r="BJ12" s="1848">
        <v>59589</v>
      </c>
      <c r="BK12" s="1783">
        <v>65047</v>
      </c>
      <c r="BL12" s="1854">
        <f t="shared" ref="BL12:BL49" si="17">ROUND(BK12/C12*100,1)</f>
        <v>83.2</v>
      </c>
      <c r="BM12" s="1791">
        <v>45931</v>
      </c>
      <c r="BN12" s="1425">
        <v>17881</v>
      </c>
      <c r="BO12" s="1431">
        <f t="shared" ref="BO12:BO49" si="18">BN12/BM12*100</f>
        <v>38.930134331932678</v>
      </c>
      <c r="BP12" s="1764">
        <v>5534</v>
      </c>
      <c r="BQ12" s="1432" t="s">
        <v>345</v>
      </c>
    </row>
    <row r="13" spans="1:69" s="1432" customFormat="1" ht="13.5" x14ac:dyDescent="0.25">
      <c r="A13" s="1424">
        <v>81</v>
      </c>
      <c r="B13" s="1759" t="s">
        <v>13</v>
      </c>
      <c r="C13" s="1772">
        <v>4526</v>
      </c>
      <c r="D13" s="1783">
        <v>5195</v>
      </c>
      <c r="E13" s="1787">
        <f t="shared" si="0"/>
        <v>114.8</v>
      </c>
      <c r="F13" s="1797">
        <v>5050</v>
      </c>
      <c r="G13" s="1426">
        <f t="shared" si="0"/>
        <v>111.6</v>
      </c>
      <c r="H13" s="1427">
        <v>37</v>
      </c>
      <c r="I13" s="1426">
        <f t="shared" si="0"/>
        <v>0.8</v>
      </c>
      <c r="J13" s="1427">
        <v>5087</v>
      </c>
      <c r="K13" s="1426">
        <f t="shared" si="1"/>
        <v>112.4</v>
      </c>
      <c r="L13" s="1425">
        <v>5005</v>
      </c>
      <c r="M13" s="1798">
        <f t="shared" si="2"/>
        <v>110.6</v>
      </c>
      <c r="N13" s="1791">
        <v>4843</v>
      </c>
      <c r="O13" s="1787">
        <f t="shared" si="2"/>
        <v>107</v>
      </c>
      <c r="P13" s="1783">
        <v>5008</v>
      </c>
      <c r="Q13" s="1426">
        <f t="shared" si="3"/>
        <v>110.6</v>
      </c>
      <c r="R13" s="1425">
        <v>4909</v>
      </c>
      <c r="S13" s="1426">
        <f t="shared" si="4"/>
        <v>108.5</v>
      </c>
      <c r="T13" s="1425">
        <v>4846</v>
      </c>
      <c r="U13" s="1798">
        <f t="shared" ref="U13:U47" si="19">ROUND(T13/$C13*100,2)</f>
        <v>107.07</v>
      </c>
      <c r="V13" s="1791">
        <v>4868</v>
      </c>
      <c r="W13" s="1426">
        <f t="shared" si="5"/>
        <v>107.6</v>
      </c>
      <c r="X13" s="1425">
        <v>4725</v>
      </c>
      <c r="Y13" s="1787">
        <f t="shared" si="6"/>
        <v>104.4</v>
      </c>
      <c r="Z13" s="1797">
        <v>4138</v>
      </c>
      <c r="AA13" s="1426">
        <f t="shared" ref="AA13:AA49" si="20">ROUND(Z13/($C13/12*9)*100,1)</f>
        <v>121.9</v>
      </c>
      <c r="AB13" s="1428">
        <v>3075</v>
      </c>
      <c r="AC13" s="1798">
        <f t="shared" ref="AC13:AC49" si="21">ROUND(AB13/($C13/12*9)*100,1)</f>
        <v>90.6</v>
      </c>
      <c r="AD13" s="1791">
        <v>5153</v>
      </c>
      <c r="AE13" s="1426">
        <f t="shared" si="7"/>
        <v>113.9</v>
      </c>
      <c r="AF13" s="1425">
        <v>4940</v>
      </c>
      <c r="AG13" s="1787">
        <f t="shared" si="8"/>
        <v>109.1</v>
      </c>
      <c r="AH13" s="1812">
        <v>4629</v>
      </c>
      <c r="AI13" s="1425">
        <v>4997</v>
      </c>
      <c r="AJ13" s="1798">
        <f t="shared" ref="AJ13:AJ47" si="22">ROUND(AI13/$AH13*100,1)</f>
        <v>107.9</v>
      </c>
      <c r="AK13" s="1807">
        <v>5041</v>
      </c>
      <c r="AL13" s="1787">
        <f t="shared" ref="AL13:AL47" si="23">ROUND(AK13/$AH13*100,1)</f>
        <v>108.9</v>
      </c>
      <c r="AM13" s="1816">
        <v>5120</v>
      </c>
      <c r="AN13" s="1798">
        <f t="shared" si="9"/>
        <v>110.6</v>
      </c>
      <c r="AO13" s="1791">
        <v>4852</v>
      </c>
      <c r="AP13" s="1426">
        <f t="shared" si="10"/>
        <v>104.8</v>
      </c>
      <c r="AQ13" s="1430">
        <v>178</v>
      </c>
      <c r="AR13" s="1426">
        <f t="shared" si="16"/>
        <v>3.8453229639230937</v>
      </c>
      <c r="AS13" s="1430">
        <v>176</v>
      </c>
      <c r="AT13" s="1821">
        <v>382</v>
      </c>
      <c r="AU13" s="1783">
        <v>5095</v>
      </c>
      <c r="AV13" s="1798">
        <f>ROUND(AU13/$AH13*100,1)</f>
        <v>110.1</v>
      </c>
      <c r="AW13" s="1791">
        <v>4348</v>
      </c>
      <c r="AX13" s="1787">
        <f t="shared" si="11"/>
        <v>93.9</v>
      </c>
      <c r="AY13" s="1783">
        <v>4346</v>
      </c>
      <c r="AZ13" s="1798">
        <f t="shared" si="12"/>
        <v>93.9</v>
      </c>
      <c r="BA13" s="1832">
        <v>4950</v>
      </c>
      <c r="BB13" s="1783">
        <v>4471</v>
      </c>
      <c r="BC13" s="1837">
        <f t="shared" si="13"/>
        <v>90.3</v>
      </c>
      <c r="BD13" s="1791">
        <v>4497</v>
      </c>
      <c r="BE13" s="1840">
        <f t="shared" si="14"/>
        <v>90.8</v>
      </c>
      <c r="BF13" s="1783">
        <v>4491</v>
      </c>
      <c r="BG13" s="1837">
        <f t="shared" si="15"/>
        <v>90.7</v>
      </c>
      <c r="BH13" s="1791">
        <v>3214</v>
      </c>
      <c r="BI13" s="1425">
        <v>4627</v>
      </c>
      <c r="BJ13" s="1848">
        <v>2990</v>
      </c>
      <c r="BK13" s="1783">
        <v>4181</v>
      </c>
      <c r="BL13" s="1854">
        <f t="shared" si="17"/>
        <v>92.4</v>
      </c>
      <c r="BM13" s="1791">
        <v>2340</v>
      </c>
      <c r="BN13" s="1425">
        <v>954</v>
      </c>
      <c r="BO13" s="1431">
        <f t="shared" si="18"/>
        <v>40.769230769230766</v>
      </c>
      <c r="BP13" s="1764">
        <v>259</v>
      </c>
      <c r="BQ13" s="1432" t="s">
        <v>346</v>
      </c>
    </row>
    <row r="14" spans="1:69" s="1432" customFormat="1" ht="13.5" x14ac:dyDescent="0.25">
      <c r="A14" s="1424" t="s">
        <v>142</v>
      </c>
      <c r="B14" s="1759" t="s">
        <v>14</v>
      </c>
      <c r="C14" s="1772">
        <v>20676</v>
      </c>
      <c r="D14" s="1783">
        <v>20272</v>
      </c>
      <c r="E14" s="1787">
        <f t="shared" si="0"/>
        <v>98</v>
      </c>
      <c r="F14" s="1797">
        <v>19171</v>
      </c>
      <c r="G14" s="1426">
        <f t="shared" si="0"/>
        <v>92.7</v>
      </c>
      <c r="H14" s="1427">
        <v>258</v>
      </c>
      <c r="I14" s="1426">
        <f t="shared" si="0"/>
        <v>1.2</v>
      </c>
      <c r="J14" s="1427">
        <v>19429</v>
      </c>
      <c r="K14" s="1426">
        <f t="shared" si="1"/>
        <v>94</v>
      </c>
      <c r="L14" s="1425">
        <v>19795</v>
      </c>
      <c r="M14" s="1798">
        <f t="shared" si="2"/>
        <v>95.7</v>
      </c>
      <c r="N14" s="1791">
        <v>21146</v>
      </c>
      <c r="O14" s="1787">
        <f t="shared" si="2"/>
        <v>102.3</v>
      </c>
      <c r="P14" s="1783">
        <v>19715</v>
      </c>
      <c r="Q14" s="1426">
        <f t="shared" si="3"/>
        <v>95.4</v>
      </c>
      <c r="R14" s="1425">
        <v>19993</v>
      </c>
      <c r="S14" s="1426">
        <f t="shared" si="4"/>
        <v>96.7</v>
      </c>
      <c r="T14" s="1425">
        <v>21135</v>
      </c>
      <c r="U14" s="1798">
        <f t="shared" si="19"/>
        <v>102.22</v>
      </c>
      <c r="V14" s="1791">
        <v>19087</v>
      </c>
      <c r="W14" s="1426">
        <f t="shared" si="5"/>
        <v>92.3</v>
      </c>
      <c r="X14" s="1425">
        <v>20848</v>
      </c>
      <c r="Y14" s="1787">
        <f t="shared" si="6"/>
        <v>100.8</v>
      </c>
      <c r="Z14" s="1797">
        <v>17941</v>
      </c>
      <c r="AA14" s="1426">
        <f t="shared" si="20"/>
        <v>115.7</v>
      </c>
      <c r="AB14" s="1428">
        <v>11704</v>
      </c>
      <c r="AC14" s="1798">
        <f t="shared" si="21"/>
        <v>75.5</v>
      </c>
      <c r="AD14" s="1791">
        <v>19081</v>
      </c>
      <c r="AE14" s="1426">
        <f t="shared" si="7"/>
        <v>92.3</v>
      </c>
      <c r="AF14" s="1425">
        <v>20741</v>
      </c>
      <c r="AG14" s="1787">
        <f t="shared" si="8"/>
        <v>100.3</v>
      </c>
      <c r="AH14" s="1812">
        <v>21092</v>
      </c>
      <c r="AI14" s="1425">
        <v>21438</v>
      </c>
      <c r="AJ14" s="1798">
        <f t="shared" si="22"/>
        <v>101.6</v>
      </c>
      <c r="AK14" s="1807">
        <v>21677</v>
      </c>
      <c r="AL14" s="1787">
        <f t="shared" si="23"/>
        <v>102.8</v>
      </c>
      <c r="AM14" s="1816">
        <v>20094</v>
      </c>
      <c r="AN14" s="1798">
        <f t="shared" si="9"/>
        <v>95.3</v>
      </c>
      <c r="AO14" s="1791">
        <v>21105</v>
      </c>
      <c r="AP14" s="1426">
        <f t="shared" si="10"/>
        <v>100.1</v>
      </c>
      <c r="AQ14" s="1430">
        <v>369</v>
      </c>
      <c r="AR14" s="1426">
        <f t="shared" si="16"/>
        <v>1.7494784752512802</v>
      </c>
      <c r="AS14" s="1430">
        <v>792</v>
      </c>
      <c r="AT14" s="1821">
        <v>475</v>
      </c>
      <c r="AU14" s="1783">
        <v>21599</v>
      </c>
      <c r="AV14" s="1798">
        <f>ROUND(AU14/$AH14*100,1)</f>
        <v>102.4</v>
      </c>
      <c r="AW14" s="1791">
        <v>19874</v>
      </c>
      <c r="AX14" s="1787">
        <f t="shared" si="11"/>
        <v>94.2</v>
      </c>
      <c r="AY14" s="1783">
        <v>19930</v>
      </c>
      <c r="AZ14" s="1798">
        <f t="shared" si="12"/>
        <v>94.5</v>
      </c>
      <c r="BA14" s="1832">
        <v>21627</v>
      </c>
      <c r="BB14" s="1783">
        <v>20911</v>
      </c>
      <c r="BC14" s="1837">
        <f t="shared" si="13"/>
        <v>96.7</v>
      </c>
      <c r="BD14" s="1791">
        <v>20898</v>
      </c>
      <c r="BE14" s="1840">
        <f t="shared" si="14"/>
        <v>96.6</v>
      </c>
      <c r="BF14" s="1783">
        <v>20960</v>
      </c>
      <c r="BG14" s="1837">
        <f t="shared" si="15"/>
        <v>96.9</v>
      </c>
      <c r="BH14" s="1791">
        <v>15660</v>
      </c>
      <c r="BI14" s="1425">
        <v>14718</v>
      </c>
      <c r="BJ14" s="1848">
        <v>14210</v>
      </c>
      <c r="BK14" s="1783">
        <v>16064</v>
      </c>
      <c r="BL14" s="1854">
        <f t="shared" si="17"/>
        <v>77.7</v>
      </c>
      <c r="BM14" s="1791">
        <v>8898</v>
      </c>
      <c r="BN14" s="1425">
        <v>1036</v>
      </c>
      <c r="BO14" s="1431">
        <f t="shared" si="18"/>
        <v>11.643065857496067</v>
      </c>
      <c r="BP14" s="1764">
        <v>133</v>
      </c>
      <c r="BQ14" s="1432" t="s">
        <v>347</v>
      </c>
    </row>
    <row r="15" spans="1:69" s="1432" customFormat="1" ht="13.5" x14ac:dyDescent="0.25">
      <c r="A15" s="1424" t="s">
        <v>245</v>
      </c>
      <c r="B15" s="1760" t="s">
        <v>115</v>
      </c>
      <c r="C15" s="1772">
        <v>21732</v>
      </c>
      <c r="D15" s="1783">
        <v>21589</v>
      </c>
      <c r="E15" s="1787">
        <f t="shared" si="0"/>
        <v>99.3</v>
      </c>
      <c r="F15" s="1797">
        <v>20502</v>
      </c>
      <c r="G15" s="1426">
        <f t="shared" si="0"/>
        <v>94.3</v>
      </c>
      <c r="H15" s="1427">
        <v>1086</v>
      </c>
      <c r="I15" s="1426">
        <f t="shared" si="0"/>
        <v>5</v>
      </c>
      <c r="J15" s="1427">
        <v>21588</v>
      </c>
      <c r="K15" s="1426">
        <f t="shared" si="1"/>
        <v>99.3</v>
      </c>
      <c r="L15" s="1425">
        <v>21352</v>
      </c>
      <c r="M15" s="1798">
        <f t="shared" si="2"/>
        <v>98.3</v>
      </c>
      <c r="N15" s="1791">
        <v>20957</v>
      </c>
      <c r="O15" s="1787">
        <f t="shared" si="2"/>
        <v>96.4</v>
      </c>
      <c r="P15" s="1783">
        <v>21321</v>
      </c>
      <c r="Q15" s="1426">
        <f t="shared" si="3"/>
        <v>98.1</v>
      </c>
      <c r="R15" s="1425">
        <v>20980</v>
      </c>
      <c r="S15" s="1426">
        <f t="shared" si="4"/>
        <v>96.5</v>
      </c>
      <c r="T15" s="1425">
        <v>21058</v>
      </c>
      <c r="U15" s="1798">
        <f t="shared" si="19"/>
        <v>96.9</v>
      </c>
      <c r="V15" s="1791">
        <v>21271</v>
      </c>
      <c r="W15" s="1426">
        <f t="shared" si="5"/>
        <v>97.9</v>
      </c>
      <c r="X15" s="1425">
        <v>20811</v>
      </c>
      <c r="Y15" s="1787">
        <f t="shared" si="6"/>
        <v>95.8</v>
      </c>
      <c r="Z15" s="1797">
        <v>20227</v>
      </c>
      <c r="AA15" s="1426">
        <f t="shared" si="20"/>
        <v>124.1</v>
      </c>
      <c r="AB15" s="1428">
        <v>14064</v>
      </c>
      <c r="AC15" s="1798">
        <f t="shared" si="21"/>
        <v>86.3</v>
      </c>
      <c r="AD15" s="1791">
        <v>21715</v>
      </c>
      <c r="AE15" s="1426">
        <f t="shared" si="7"/>
        <v>99.9</v>
      </c>
      <c r="AF15" s="1425">
        <v>21330</v>
      </c>
      <c r="AG15" s="1787">
        <f t="shared" si="8"/>
        <v>98.2</v>
      </c>
      <c r="AH15" s="1812">
        <v>21844</v>
      </c>
      <c r="AI15" s="1425">
        <v>22021</v>
      </c>
      <c r="AJ15" s="1798">
        <f t="shared" si="22"/>
        <v>100.8</v>
      </c>
      <c r="AK15" s="1807">
        <v>21720</v>
      </c>
      <c r="AL15" s="1787">
        <f t="shared" si="23"/>
        <v>99.4</v>
      </c>
      <c r="AM15" s="1816">
        <v>21025</v>
      </c>
      <c r="AN15" s="1798">
        <f t="shared" si="9"/>
        <v>96.3</v>
      </c>
      <c r="AO15" s="1791">
        <v>21502</v>
      </c>
      <c r="AP15" s="1426">
        <f t="shared" si="10"/>
        <v>98.4</v>
      </c>
      <c r="AQ15" s="1430">
        <v>347</v>
      </c>
      <c r="AR15" s="1426">
        <f t="shared" si="16"/>
        <v>1.5885368980040286</v>
      </c>
      <c r="AS15" s="1430">
        <v>331</v>
      </c>
      <c r="AT15" s="1821">
        <v>673</v>
      </c>
      <c r="AU15" s="1783">
        <v>22076</v>
      </c>
      <c r="AV15" s="1798">
        <f t="shared" ref="AV15:AV47" si="24">ROUND(AU15/$AH15*100,1)</f>
        <v>101.1</v>
      </c>
      <c r="AW15" s="1791">
        <v>20985</v>
      </c>
      <c r="AX15" s="1787">
        <f t="shared" si="11"/>
        <v>96.1</v>
      </c>
      <c r="AY15" s="1783">
        <v>21087</v>
      </c>
      <c r="AZ15" s="1798">
        <f t="shared" si="12"/>
        <v>96.5</v>
      </c>
      <c r="BA15" s="1832">
        <v>23376</v>
      </c>
      <c r="BB15" s="1783">
        <v>22355</v>
      </c>
      <c r="BC15" s="1837">
        <f t="shared" si="13"/>
        <v>95.6</v>
      </c>
      <c r="BD15" s="1791">
        <v>22370</v>
      </c>
      <c r="BE15" s="1840">
        <f t="shared" si="14"/>
        <v>95.7</v>
      </c>
      <c r="BF15" s="1783">
        <v>22347</v>
      </c>
      <c r="BG15" s="1837">
        <f t="shared" si="15"/>
        <v>95.6</v>
      </c>
      <c r="BH15" s="1791">
        <v>7867</v>
      </c>
      <c r="BI15" s="1425">
        <v>31279</v>
      </c>
      <c r="BJ15" s="1848">
        <v>16584</v>
      </c>
      <c r="BK15" s="1783">
        <v>17656</v>
      </c>
      <c r="BL15" s="1854">
        <f t="shared" si="17"/>
        <v>81.2</v>
      </c>
      <c r="BM15" s="1791">
        <v>9670</v>
      </c>
      <c r="BN15" s="1425">
        <v>865</v>
      </c>
      <c r="BO15" s="1431">
        <f t="shared" si="18"/>
        <v>8.9451913133402261</v>
      </c>
      <c r="BP15" s="1764">
        <v>78</v>
      </c>
      <c r="BQ15" s="1432" t="s">
        <v>347</v>
      </c>
    </row>
    <row r="16" spans="1:69" s="1432" customFormat="1" ht="13.5" x14ac:dyDescent="0.25">
      <c r="A16" s="1424">
        <v>11</v>
      </c>
      <c r="B16" s="1759" t="s">
        <v>348</v>
      </c>
      <c r="C16" s="1772">
        <v>104937</v>
      </c>
      <c r="D16" s="1783">
        <v>101990</v>
      </c>
      <c r="E16" s="1787">
        <f t="shared" si="0"/>
        <v>97.2</v>
      </c>
      <c r="F16" s="1797">
        <v>75377</v>
      </c>
      <c r="G16" s="1426">
        <f t="shared" si="0"/>
        <v>71.8</v>
      </c>
      <c r="H16" s="1427">
        <v>26741</v>
      </c>
      <c r="I16" s="1426">
        <f t="shared" si="0"/>
        <v>25.5</v>
      </c>
      <c r="J16" s="1427">
        <v>102118</v>
      </c>
      <c r="K16" s="1426">
        <f t="shared" si="1"/>
        <v>97.3</v>
      </c>
      <c r="L16" s="1425">
        <v>88109</v>
      </c>
      <c r="M16" s="1798">
        <f t="shared" si="2"/>
        <v>84</v>
      </c>
      <c r="N16" s="1791">
        <v>90247</v>
      </c>
      <c r="O16" s="1787">
        <f t="shared" si="2"/>
        <v>86</v>
      </c>
      <c r="P16" s="1783">
        <v>87999</v>
      </c>
      <c r="Q16" s="1426">
        <f t="shared" si="3"/>
        <v>83.9</v>
      </c>
      <c r="R16" s="1425">
        <v>89256</v>
      </c>
      <c r="S16" s="1426">
        <f t="shared" si="4"/>
        <v>85.1</v>
      </c>
      <c r="T16" s="1425">
        <v>90293</v>
      </c>
      <c r="U16" s="1798">
        <f t="shared" si="19"/>
        <v>86.04</v>
      </c>
      <c r="V16" s="1791">
        <v>86624</v>
      </c>
      <c r="W16" s="1426">
        <f t="shared" si="5"/>
        <v>82.5</v>
      </c>
      <c r="X16" s="1425">
        <v>87097</v>
      </c>
      <c r="Y16" s="1787">
        <f t="shared" si="6"/>
        <v>83</v>
      </c>
      <c r="Z16" s="1797">
        <v>61012</v>
      </c>
      <c r="AA16" s="1426">
        <f t="shared" si="20"/>
        <v>77.5</v>
      </c>
      <c r="AB16" s="1428">
        <v>44525</v>
      </c>
      <c r="AC16" s="1798">
        <f t="shared" si="21"/>
        <v>56.6</v>
      </c>
      <c r="AD16" s="1791">
        <v>89852</v>
      </c>
      <c r="AE16" s="1426">
        <f t="shared" si="7"/>
        <v>85.6</v>
      </c>
      <c r="AF16" s="1425">
        <v>90885</v>
      </c>
      <c r="AG16" s="1787">
        <f t="shared" si="8"/>
        <v>86.6</v>
      </c>
      <c r="AH16" s="1812">
        <v>105191</v>
      </c>
      <c r="AI16" s="1425">
        <v>94619</v>
      </c>
      <c r="AJ16" s="1798">
        <f t="shared" si="22"/>
        <v>89.9</v>
      </c>
      <c r="AK16" s="1807">
        <v>95189</v>
      </c>
      <c r="AL16" s="1787">
        <f t="shared" si="23"/>
        <v>90.5</v>
      </c>
      <c r="AM16" s="1816">
        <v>84108</v>
      </c>
      <c r="AN16" s="1798">
        <f t="shared" si="9"/>
        <v>80</v>
      </c>
      <c r="AO16" s="1791">
        <v>92243</v>
      </c>
      <c r="AP16" s="1426">
        <f t="shared" si="10"/>
        <v>87.7</v>
      </c>
      <c r="AQ16" s="1430">
        <v>2692</v>
      </c>
      <c r="AR16" s="1426">
        <f t="shared" si="16"/>
        <v>2.5591543002728372</v>
      </c>
      <c r="AS16" s="1430">
        <v>1807</v>
      </c>
      <c r="AT16" s="1821">
        <v>5438</v>
      </c>
      <c r="AU16" s="1783">
        <v>96110</v>
      </c>
      <c r="AV16" s="1798">
        <f t="shared" si="24"/>
        <v>91.4</v>
      </c>
      <c r="AW16" s="1791">
        <v>85234</v>
      </c>
      <c r="AX16" s="1787">
        <f t="shared" si="11"/>
        <v>81</v>
      </c>
      <c r="AY16" s="1783">
        <v>85283</v>
      </c>
      <c r="AZ16" s="1798">
        <f t="shared" si="12"/>
        <v>81.099999999999994</v>
      </c>
      <c r="BA16" s="1832">
        <v>106379</v>
      </c>
      <c r="BB16" s="1783">
        <v>93458</v>
      </c>
      <c r="BC16" s="1837">
        <f t="shared" si="13"/>
        <v>87.9</v>
      </c>
      <c r="BD16" s="1791">
        <v>93544</v>
      </c>
      <c r="BE16" s="1840">
        <f t="shared" si="14"/>
        <v>87.9</v>
      </c>
      <c r="BF16" s="1783">
        <v>94598</v>
      </c>
      <c r="BG16" s="1837">
        <f t="shared" si="15"/>
        <v>88.9</v>
      </c>
      <c r="BH16" s="1791">
        <v>207113</v>
      </c>
      <c r="BI16" s="1425">
        <v>276157</v>
      </c>
      <c r="BJ16" s="1848">
        <v>58709</v>
      </c>
      <c r="BK16" s="1783">
        <v>83019</v>
      </c>
      <c r="BL16" s="1854">
        <f t="shared" si="17"/>
        <v>79.099999999999994</v>
      </c>
      <c r="BM16" s="1791">
        <v>51129</v>
      </c>
      <c r="BN16" s="1425">
        <v>9312</v>
      </c>
      <c r="BO16" s="1431">
        <f t="shared" si="18"/>
        <v>18.212755970193044</v>
      </c>
      <c r="BP16" s="1764">
        <v>1669</v>
      </c>
      <c r="BQ16" s="1432" t="s">
        <v>345</v>
      </c>
    </row>
    <row r="17" spans="1:69" s="1432" customFormat="1" ht="13.5" x14ac:dyDescent="0.25">
      <c r="A17" s="1424">
        <v>13</v>
      </c>
      <c r="B17" s="1759" t="s">
        <v>62</v>
      </c>
      <c r="C17" s="1772">
        <v>21390</v>
      </c>
      <c r="D17" s="1783">
        <v>10641</v>
      </c>
      <c r="E17" s="1787">
        <f t="shared" si="0"/>
        <v>49.7</v>
      </c>
      <c r="F17" s="1797">
        <v>10038</v>
      </c>
      <c r="G17" s="1426">
        <f t="shared" si="0"/>
        <v>46.9</v>
      </c>
      <c r="H17" s="1427">
        <v>155</v>
      </c>
      <c r="I17" s="1426">
        <f t="shared" si="0"/>
        <v>0.7</v>
      </c>
      <c r="J17" s="1427">
        <v>10193</v>
      </c>
      <c r="K17" s="1426">
        <f t="shared" si="1"/>
        <v>47.7</v>
      </c>
      <c r="L17" s="1425">
        <v>18532</v>
      </c>
      <c r="M17" s="1798">
        <f t="shared" si="2"/>
        <v>86.6</v>
      </c>
      <c r="N17" s="1791">
        <v>18825</v>
      </c>
      <c r="O17" s="1787">
        <f t="shared" si="2"/>
        <v>88</v>
      </c>
      <c r="P17" s="1783">
        <v>18391</v>
      </c>
      <c r="Q17" s="1426">
        <f t="shared" si="3"/>
        <v>86</v>
      </c>
      <c r="R17" s="1425">
        <v>18660</v>
      </c>
      <c r="S17" s="1426">
        <f t="shared" si="4"/>
        <v>87.2</v>
      </c>
      <c r="T17" s="1425">
        <v>18767</v>
      </c>
      <c r="U17" s="1798">
        <f t="shared" si="19"/>
        <v>87.74</v>
      </c>
      <c r="V17" s="1791">
        <v>17806</v>
      </c>
      <c r="W17" s="1426">
        <f t="shared" si="5"/>
        <v>83.2</v>
      </c>
      <c r="X17" s="1425">
        <v>17887</v>
      </c>
      <c r="Y17" s="1787">
        <f t="shared" si="6"/>
        <v>83.6</v>
      </c>
      <c r="Z17" s="1797">
        <v>17900</v>
      </c>
      <c r="AA17" s="1426">
        <f t="shared" si="20"/>
        <v>111.6</v>
      </c>
      <c r="AB17" s="1428">
        <v>13075</v>
      </c>
      <c r="AC17" s="1798">
        <f t="shared" si="21"/>
        <v>81.5</v>
      </c>
      <c r="AD17" s="1791">
        <v>18754</v>
      </c>
      <c r="AE17" s="1426">
        <f t="shared" si="7"/>
        <v>87.7</v>
      </c>
      <c r="AF17" s="1425">
        <v>19065</v>
      </c>
      <c r="AG17" s="1787">
        <f t="shared" si="8"/>
        <v>89.1</v>
      </c>
      <c r="AH17" s="1812">
        <v>21923</v>
      </c>
      <c r="AI17" s="1425">
        <v>20020</v>
      </c>
      <c r="AJ17" s="1798">
        <f t="shared" si="22"/>
        <v>91.3</v>
      </c>
      <c r="AK17" s="1807">
        <v>19970</v>
      </c>
      <c r="AL17" s="1787">
        <f t="shared" si="23"/>
        <v>91.1</v>
      </c>
      <c r="AM17" s="1816">
        <v>16338</v>
      </c>
      <c r="AN17" s="1798">
        <f t="shared" si="9"/>
        <v>74.5</v>
      </c>
      <c r="AO17" s="1791">
        <v>19829</v>
      </c>
      <c r="AP17" s="1426">
        <f t="shared" si="10"/>
        <v>90.4</v>
      </c>
      <c r="AQ17" s="1430">
        <v>294</v>
      </c>
      <c r="AR17" s="1426">
        <f t="shared" si="16"/>
        <v>1.3410573370432879</v>
      </c>
      <c r="AS17" s="1430">
        <v>315</v>
      </c>
      <c r="AT17" s="1821">
        <v>559</v>
      </c>
      <c r="AU17" s="1783">
        <v>20188</v>
      </c>
      <c r="AV17" s="1798">
        <f t="shared" si="24"/>
        <v>92.1</v>
      </c>
      <c r="AW17" s="1791">
        <v>17751</v>
      </c>
      <c r="AX17" s="1787">
        <f t="shared" si="11"/>
        <v>81</v>
      </c>
      <c r="AY17" s="1783">
        <v>17907</v>
      </c>
      <c r="AZ17" s="1798">
        <f t="shared" si="12"/>
        <v>81.7</v>
      </c>
      <c r="BA17" s="1832">
        <v>22577</v>
      </c>
      <c r="BB17" s="1783">
        <v>18549</v>
      </c>
      <c r="BC17" s="1837">
        <f t="shared" si="13"/>
        <v>82.2</v>
      </c>
      <c r="BD17" s="1791">
        <v>18859</v>
      </c>
      <c r="BE17" s="1840">
        <f t="shared" si="14"/>
        <v>83.5</v>
      </c>
      <c r="BF17" s="1783">
        <v>18407</v>
      </c>
      <c r="BG17" s="1837">
        <f t="shared" si="15"/>
        <v>81.5</v>
      </c>
      <c r="BH17" s="1791">
        <v>6944</v>
      </c>
      <c r="BI17" s="1425">
        <v>19406</v>
      </c>
      <c r="BJ17" s="1848">
        <v>14316</v>
      </c>
      <c r="BK17" s="1783">
        <v>15716</v>
      </c>
      <c r="BL17" s="1854">
        <f t="shared" si="17"/>
        <v>73.5</v>
      </c>
      <c r="BM17" s="1791">
        <v>9645</v>
      </c>
      <c r="BN17" s="1425">
        <v>1681</v>
      </c>
      <c r="BO17" s="1431">
        <f t="shared" si="18"/>
        <v>17.42871954380508</v>
      </c>
      <c r="BP17" s="1764">
        <v>275</v>
      </c>
      <c r="BQ17" s="1432" t="s">
        <v>347</v>
      </c>
    </row>
    <row r="18" spans="1:69" s="1432" customFormat="1" ht="13.5" x14ac:dyDescent="0.25">
      <c r="A18" s="1424">
        <v>13001</v>
      </c>
      <c r="B18" s="1760" t="s">
        <v>45</v>
      </c>
      <c r="C18" s="1772">
        <v>19368</v>
      </c>
      <c r="D18" s="1783">
        <v>19157</v>
      </c>
      <c r="E18" s="1787">
        <f t="shared" si="0"/>
        <v>98.9</v>
      </c>
      <c r="F18" s="1797">
        <v>19042</v>
      </c>
      <c r="G18" s="1426">
        <f t="shared" si="0"/>
        <v>98.3</v>
      </c>
      <c r="H18" s="1427">
        <v>112</v>
      </c>
      <c r="I18" s="1426">
        <f t="shared" si="0"/>
        <v>0.6</v>
      </c>
      <c r="J18" s="1427">
        <v>19154</v>
      </c>
      <c r="K18" s="1426">
        <f t="shared" si="1"/>
        <v>98.9</v>
      </c>
      <c r="L18" s="1425">
        <v>18117</v>
      </c>
      <c r="M18" s="1798">
        <f t="shared" si="2"/>
        <v>93.5</v>
      </c>
      <c r="N18" s="1791">
        <v>17605</v>
      </c>
      <c r="O18" s="1787">
        <f t="shared" si="2"/>
        <v>90.9</v>
      </c>
      <c r="P18" s="1783">
        <v>18207</v>
      </c>
      <c r="Q18" s="1426">
        <f t="shared" si="3"/>
        <v>94</v>
      </c>
      <c r="R18" s="1425">
        <v>18095</v>
      </c>
      <c r="S18" s="1426">
        <f t="shared" si="4"/>
        <v>93.4</v>
      </c>
      <c r="T18" s="1425">
        <v>17604</v>
      </c>
      <c r="U18" s="1798">
        <f t="shared" si="19"/>
        <v>90.89</v>
      </c>
      <c r="V18" s="1791">
        <v>17534</v>
      </c>
      <c r="W18" s="1426">
        <f t="shared" si="5"/>
        <v>90.5</v>
      </c>
      <c r="X18" s="1425">
        <v>17398</v>
      </c>
      <c r="Y18" s="1787">
        <f t="shared" si="6"/>
        <v>89.8</v>
      </c>
      <c r="Z18" s="1797">
        <v>15277</v>
      </c>
      <c r="AA18" s="1426">
        <f t="shared" si="20"/>
        <v>105.2</v>
      </c>
      <c r="AB18" s="1428">
        <v>11695</v>
      </c>
      <c r="AC18" s="1798">
        <f t="shared" si="21"/>
        <v>80.5</v>
      </c>
      <c r="AD18" s="1791">
        <v>19612</v>
      </c>
      <c r="AE18" s="1426">
        <f t="shared" si="7"/>
        <v>101.3</v>
      </c>
      <c r="AF18" s="1425">
        <v>18949</v>
      </c>
      <c r="AG18" s="1787">
        <f t="shared" si="8"/>
        <v>97.8</v>
      </c>
      <c r="AH18" s="1812">
        <v>19588</v>
      </c>
      <c r="AI18" s="1425">
        <v>19222</v>
      </c>
      <c r="AJ18" s="1798">
        <f t="shared" si="22"/>
        <v>98.1</v>
      </c>
      <c r="AK18" s="1807">
        <v>19048</v>
      </c>
      <c r="AL18" s="1787">
        <f t="shared" si="23"/>
        <v>97.2</v>
      </c>
      <c r="AM18" s="1816">
        <v>15356</v>
      </c>
      <c r="AN18" s="1798">
        <f t="shared" si="9"/>
        <v>78.400000000000006</v>
      </c>
      <c r="AO18" s="1791">
        <v>19055</v>
      </c>
      <c r="AP18" s="1426">
        <f t="shared" si="10"/>
        <v>97.3</v>
      </c>
      <c r="AQ18" s="1430">
        <v>463</v>
      </c>
      <c r="AR18" s="1426">
        <f t="shared" si="16"/>
        <v>2.3636920563610371</v>
      </c>
      <c r="AS18" s="1430">
        <v>728</v>
      </c>
      <c r="AT18" s="1821">
        <v>660</v>
      </c>
      <c r="AU18" s="1783">
        <v>20408</v>
      </c>
      <c r="AV18" s="1798">
        <f t="shared" si="24"/>
        <v>104.2</v>
      </c>
      <c r="AW18" s="1791">
        <v>15373</v>
      </c>
      <c r="AX18" s="1787">
        <f t="shared" si="11"/>
        <v>78.5</v>
      </c>
      <c r="AY18" s="1783">
        <v>15394</v>
      </c>
      <c r="AZ18" s="1798">
        <f t="shared" si="12"/>
        <v>78.599999999999994</v>
      </c>
      <c r="BA18" s="1832">
        <v>19239</v>
      </c>
      <c r="BB18" s="1783">
        <v>16901</v>
      </c>
      <c r="BC18" s="1837">
        <f>ROUND(BB18/$BA18*100,1)</f>
        <v>87.8</v>
      </c>
      <c r="BD18" s="1791">
        <v>16911</v>
      </c>
      <c r="BE18" s="1840">
        <f>ROUND(BD18/$BA18*100,1)</f>
        <v>87.9</v>
      </c>
      <c r="BF18" s="1783">
        <v>17150</v>
      </c>
      <c r="BG18" s="1837">
        <f>ROUND(BF18/$BA18*100,1)</f>
        <v>89.1</v>
      </c>
      <c r="BH18" s="1791">
        <v>11426</v>
      </c>
      <c r="BI18" s="1425">
        <v>25534</v>
      </c>
      <c r="BJ18" s="1848">
        <v>16258</v>
      </c>
      <c r="BK18" s="1783">
        <v>15634</v>
      </c>
      <c r="BL18" s="1854">
        <f t="shared" si="17"/>
        <v>80.7</v>
      </c>
      <c r="BM18" s="1791">
        <v>8786</v>
      </c>
      <c r="BN18" s="1425">
        <v>968</v>
      </c>
      <c r="BO18" s="1431">
        <f t="shared" si="18"/>
        <v>11.017527885272024</v>
      </c>
      <c r="BP18" s="1764">
        <v>138</v>
      </c>
      <c r="BQ18" s="1432" t="s">
        <v>347</v>
      </c>
    </row>
    <row r="19" spans="1:69" s="1432" customFormat="1" ht="13.5" x14ac:dyDescent="0.25">
      <c r="A19" s="1424">
        <v>15</v>
      </c>
      <c r="B19" s="1758" t="s">
        <v>17</v>
      </c>
      <c r="C19" s="1772">
        <v>14411</v>
      </c>
      <c r="D19" s="1783">
        <v>13822</v>
      </c>
      <c r="E19" s="1787">
        <f t="shared" si="0"/>
        <v>95.9</v>
      </c>
      <c r="F19" s="1797">
        <v>13041</v>
      </c>
      <c r="G19" s="1426">
        <f t="shared" si="0"/>
        <v>90.5</v>
      </c>
      <c r="H19" s="1427">
        <v>696</v>
      </c>
      <c r="I19" s="1426">
        <f t="shared" si="0"/>
        <v>4.8</v>
      </c>
      <c r="J19" s="1427">
        <v>13737</v>
      </c>
      <c r="K19" s="1426">
        <f t="shared" si="1"/>
        <v>95.3</v>
      </c>
      <c r="L19" s="1425">
        <v>14420</v>
      </c>
      <c r="M19" s="1798">
        <f t="shared" si="2"/>
        <v>100.1</v>
      </c>
      <c r="N19" s="1791">
        <v>14643</v>
      </c>
      <c r="O19" s="1787">
        <f t="shared" si="2"/>
        <v>101.6</v>
      </c>
      <c r="P19" s="1783">
        <v>14422</v>
      </c>
      <c r="Q19" s="1426">
        <f t="shared" si="3"/>
        <v>100.1</v>
      </c>
      <c r="R19" s="1425">
        <v>14452</v>
      </c>
      <c r="S19" s="1426">
        <f t="shared" si="4"/>
        <v>100.3</v>
      </c>
      <c r="T19" s="1425">
        <v>14639</v>
      </c>
      <c r="U19" s="1798">
        <f t="shared" si="19"/>
        <v>101.58</v>
      </c>
      <c r="V19" s="1791">
        <v>14301</v>
      </c>
      <c r="W19" s="1426">
        <f t="shared" si="5"/>
        <v>99.2</v>
      </c>
      <c r="X19" s="1425">
        <v>14350</v>
      </c>
      <c r="Y19" s="1787">
        <f t="shared" si="6"/>
        <v>99.6</v>
      </c>
      <c r="Z19" s="1797">
        <v>13105</v>
      </c>
      <c r="AA19" s="1426">
        <f t="shared" si="20"/>
        <v>121.2</v>
      </c>
      <c r="AB19" s="1428">
        <v>12075</v>
      </c>
      <c r="AC19" s="1798">
        <f t="shared" si="21"/>
        <v>111.7</v>
      </c>
      <c r="AD19" s="1791">
        <v>14445</v>
      </c>
      <c r="AE19" s="1426">
        <f t="shared" si="7"/>
        <v>100.2</v>
      </c>
      <c r="AF19" s="1425">
        <v>14489</v>
      </c>
      <c r="AG19" s="1787">
        <f t="shared" si="8"/>
        <v>100.5</v>
      </c>
      <c r="AH19" s="1812">
        <v>15751</v>
      </c>
      <c r="AI19" s="1425">
        <v>15240</v>
      </c>
      <c r="AJ19" s="1798">
        <f t="shared" si="22"/>
        <v>96.8</v>
      </c>
      <c r="AK19" s="1807">
        <v>15221</v>
      </c>
      <c r="AL19" s="1787">
        <f t="shared" si="23"/>
        <v>96.6</v>
      </c>
      <c r="AM19" s="1816">
        <v>14912</v>
      </c>
      <c r="AN19" s="1798">
        <f t="shared" si="9"/>
        <v>94.7</v>
      </c>
      <c r="AO19" s="1791">
        <v>15164</v>
      </c>
      <c r="AP19" s="1426">
        <f t="shared" si="10"/>
        <v>96.3</v>
      </c>
      <c r="AQ19" s="1430">
        <v>71</v>
      </c>
      <c r="AR19" s="1426">
        <f t="shared" si="16"/>
        <v>0.45076503079169578</v>
      </c>
      <c r="AS19" s="1430">
        <v>71</v>
      </c>
      <c r="AT19" s="1821">
        <v>79</v>
      </c>
      <c r="AU19" s="1783">
        <v>15264</v>
      </c>
      <c r="AV19" s="1798">
        <f t="shared" si="24"/>
        <v>96.9</v>
      </c>
      <c r="AW19" s="1791">
        <v>14863</v>
      </c>
      <c r="AX19" s="1787">
        <f t="shared" si="11"/>
        <v>94.4</v>
      </c>
      <c r="AY19" s="1783">
        <v>14860</v>
      </c>
      <c r="AZ19" s="1798">
        <f t="shared" si="12"/>
        <v>94.3</v>
      </c>
      <c r="BA19" s="1832">
        <v>17908</v>
      </c>
      <c r="BB19" s="1783">
        <v>16570</v>
      </c>
      <c r="BC19" s="1837">
        <f t="shared" si="13"/>
        <v>92.5</v>
      </c>
      <c r="BD19" s="1791">
        <v>16569</v>
      </c>
      <c r="BE19" s="1840">
        <f t="shared" si="14"/>
        <v>92.5</v>
      </c>
      <c r="BF19" s="1783">
        <v>16603</v>
      </c>
      <c r="BG19" s="1837">
        <f t="shared" si="15"/>
        <v>92.7</v>
      </c>
      <c r="BH19" s="1791">
        <v>13573</v>
      </c>
      <c r="BI19" s="1425">
        <v>51104</v>
      </c>
      <c r="BJ19" s="1848">
        <v>12098</v>
      </c>
      <c r="BK19" s="1783">
        <v>12577</v>
      </c>
      <c r="BL19" s="1854">
        <f t="shared" si="17"/>
        <v>87.3</v>
      </c>
      <c r="BM19" s="1791">
        <v>9914</v>
      </c>
      <c r="BN19" s="1425">
        <v>3568</v>
      </c>
      <c r="BO19" s="1431">
        <f t="shared" si="18"/>
        <v>35.989509784143635</v>
      </c>
      <c r="BP19" s="1764">
        <v>976</v>
      </c>
      <c r="BQ19" s="1432" t="s">
        <v>345</v>
      </c>
    </row>
    <row r="20" spans="1:69" s="1432" customFormat="1" ht="13.5" x14ac:dyDescent="0.25">
      <c r="A20" s="1424">
        <v>17</v>
      </c>
      <c r="B20" s="1758" t="s">
        <v>19</v>
      </c>
      <c r="C20" s="1772">
        <v>10175</v>
      </c>
      <c r="D20" s="1783">
        <v>8759</v>
      </c>
      <c r="E20" s="1787">
        <f t="shared" si="0"/>
        <v>86.1</v>
      </c>
      <c r="F20" s="1797">
        <v>8622</v>
      </c>
      <c r="G20" s="1426">
        <f t="shared" si="0"/>
        <v>84.7</v>
      </c>
      <c r="H20" s="1427">
        <v>64</v>
      </c>
      <c r="I20" s="1426">
        <f t="shared" si="0"/>
        <v>0.6</v>
      </c>
      <c r="J20" s="1427">
        <v>8686</v>
      </c>
      <c r="K20" s="1426">
        <f t="shared" si="1"/>
        <v>85.4</v>
      </c>
      <c r="L20" s="1425">
        <v>8882</v>
      </c>
      <c r="M20" s="1798">
        <f t="shared" si="2"/>
        <v>87.3</v>
      </c>
      <c r="N20" s="1791">
        <v>9887</v>
      </c>
      <c r="O20" s="1787">
        <f t="shared" si="2"/>
        <v>97.2</v>
      </c>
      <c r="P20" s="1783">
        <v>8780</v>
      </c>
      <c r="Q20" s="1426">
        <f t="shared" si="3"/>
        <v>86.3</v>
      </c>
      <c r="R20" s="1425">
        <v>8909</v>
      </c>
      <c r="S20" s="1426">
        <f t="shared" si="4"/>
        <v>87.6</v>
      </c>
      <c r="T20" s="1425">
        <v>9848</v>
      </c>
      <c r="U20" s="1798">
        <f t="shared" si="19"/>
        <v>96.79</v>
      </c>
      <c r="V20" s="1791">
        <v>8767</v>
      </c>
      <c r="W20" s="1426">
        <f t="shared" si="5"/>
        <v>86.2</v>
      </c>
      <c r="X20" s="1425">
        <v>9491</v>
      </c>
      <c r="Y20" s="1787">
        <f t="shared" si="6"/>
        <v>93.3</v>
      </c>
      <c r="Z20" s="1797">
        <v>8424</v>
      </c>
      <c r="AA20" s="1426">
        <f t="shared" si="20"/>
        <v>110.4</v>
      </c>
      <c r="AB20" s="1428">
        <v>7074</v>
      </c>
      <c r="AC20" s="1798">
        <f t="shared" si="21"/>
        <v>92.7</v>
      </c>
      <c r="AD20" s="1791">
        <v>8844</v>
      </c>
      <c r="AE20" s="1426">
        <f t="shared" si="7"/>
        <v>86.9</v>
      </c>
      <c r="AF20" s="1425">
        <v>9892</v>
      </c>
      <c r="AG20" s="1787">
        <f t="shared" si="8"/>
        <v>97.2</v>
      </c>
      <c r="AH20" s="1812">
        <v>10331</v>
      </c>
      <c r="AI20" s="1425">
        <v>9994</v>
      </c>
      <c r="AJ20" s="1798">
        <f t="shared" si="22"/>
        <v>96.7</v>
      </c>
      <c r="AK20" s="1807">
        <v>9981</v>
      </c>
      <c r="AL20" s="1787">
        <f t="shared" si="23"/>
        <v>96.6</v>
      </c>
      <c r="AM20" s="1816">
        <v>9632</v>
      </c>
      <c r="AN20" s="1798">
        <f t="shared" si="9"/>
        <v>93.2</v>
      </c>
      <c r="AO20" s="1791">
        <v>9800</v>
      </c>
      <c r="AP20" s="1426">
        <f t="shared" si="10"/>
        <v>94.9</v>
      </c>
      <c r="AQ20" s="1430">
        <v>116</v>
      </c>
      <c r="AR20" s="1426">
        <f t="shared" si="16"/>
        <v>1.1228341883651147</v>
      </c>
      <c r="AS20" s="1430">
        <v>407</v>
      </c>
      <c r="AT20" s="1821">
        <v>34</v>
      </c>
      <c r="AU20" s="1783">
        <v>10041</v>
      </c>
      <c r="AV20" s="1798">
        <f t="shared" si="24"/>
        <v>97.2</v>
      </c>
      <c r="AW20" s="1791">
        <v>9022</v>
      </c>
      <c r="AX20" s="1787">
        <f t="shared" si="11"/>
        <v>87.3</v>
      </c>
      <c r="AY20" s="1783">
        <v>9124</v>
      </c>
      <c r="AZ20" s="1798">
        <f t="shared" si="12"/>
        <v>88.3</v>
      </c>
      <c r="BA20" s="1832">
        <v>11389</v>
      </c>
      <c r="BB20" s="1783">
        <v>9641</v>
      </c>
      <c r="BC20" s="1837">
        <f t="shared" si="13"/>
        <v>84.7</v>
      </c>
      <c r="BD20" s="1791">
        <v>9738</v>
      </c>
      <c r="BE20" s="1840">
        <f t="shared" si="14"/>
        <v>85.5</v>
      </c>
      <c r="BF20" s="1783">
        <v>9018</v>
      </c>
      <c r="BG20" s="1837">
        <f t="shared" si="15"/>
        <v>79.2</v>
      </c>
      <c r="BH20" s="1791">
        <v>5402</v>
      </c>
      <c r="BI20" s="1425">
        <v>39104</v>
      </c>
      <c r="BJ20" s="1848">
        <v>6903</v>
      </c>
      <c r="BK20" s="1783">
        <v>11263</v>
      </c>
      <c r="BL20" s="1854">
        <f t="shared" si="17"/>
        <v>110.7</v>
      </c>
      <c r="BM20" s="1791">
        <v>6531</v>
      </c>
      <c r="BN20" s="1425">
        <v>2029</v>
      </c>
      <c r="BO20" s="1431">
        <f t="shared" si="18"/>
        <v>31.067217883938142</v>
      </c>
      <c r="BP20" s="1764">
        <v>723</v>
      </c>
      <c r="BQ20" s="1432" t="s">
        <v>345</v>
      </c>
    </row>
    <row r="21" spans="1:69" s="1432" customFormat="1" ht="13.5" x14ac:dyDescent="0.25">
      <c r="A21" s="1424">
        <v>18</v>
      </c>
      <c r="B21" s="1759" t="s">
        <v>63</v>
      </c>
      <c r="C21" s="1772">
        <v>7880</v>
      </c>
      <c r="D21" s="1783">
        <v>7285</v>
      </c>
      <c r="E21" s="1787">
        <f t="shared" si="0"/>
        <v>92.4</v>
      </c>
      <c r="F21" s="1797">
        <v>4681</v>
      </c>
      <c r="G21" s="1426">
        <f t="shared" si="0"/>
        <v>59.4</v>
      </c>
      <c r="H21" s="1427">
        <v>2389</v>
      </c>
      <c r="I21" s="1426">
        <f t="shared" si="0"/>
        <v>30.3</v>
      </c>
      <c r="J21" s="1427">
        <v>7070</v>
      </c>
      <c r="K21" s="1426">
        <f t="shared" si="1"/>
        <v>89.7</v>
      </c>
      <c r="L21" s="1425">
        <v>7177</v>
      </c>
      <c r="M21" s="1798">
        <f t="shared" si="2"/>
        <v>91.1</v>
      </c>
      <c r="N21" s="1791">
        <v>6819</v>
      </c>
      <c r="O21" s="1787">
        <f t="shared" si="2"/>
        <v>86.5</v>
      </c>
      <c r="P21" s="1783">
        <v>7177</v>
      </c>
      <c r="Q21" s="1426">
        <f t="shared" si="3"/>
        <v>91.1</v>
      </c>
      <c r="R21" s="1425">
        <v>7044</v>
      </c>
      <c r="S21" s="1426">
        <f t="shared" si="4"/>
        <v>89.4</v>
      </c>
      <c r="T21" s="1425">
        <v>6823</v>
      </c>
      <c r="U21" s="1798">
        <f t="shared" si="19"/>
        <v>86.59</v>
      </c>
      <c r="V21" s="1791">
        <v>6747</v>
      </c>
      <c r="W21" s="1426">
        <f t="shared" si="5"/>
        <v>85.6</v>
      </c>
      <c r="X21" s="1425">
        <v>6738</v>
      </c>
      <c r="Y21" s="1787">
        <f t="shared" si="6"/>
        <v>85.5</v>
      </c>
      <c r="Z21" s="1797">
        <v>6646</v>
      </c>
      <c r="AA21" s="1426">
        <f t="shared" si="20"/>
        <v>112.5</v>
      </c>
      <c r="AB21" s="1428">
        <v>5157</v>
      </c>
      <c r="AC21" s="1798">
        <f t="shared" si="21"/>
        <v>87.3</v>
      </c>
      <c r="AD21" s="1791">
        <v>7185</v>
      </c>
      <c r="AE21" s="1426">
        <f t="shared" si="7"/>
        <v>91.2</v>
      </c>
      <c r="AF21" s="1425">
        <v>7046</v>
      </c>
      <c r="AG21" s="1787">
        <f t="shared" si="8"/>
        <v>89.4</v>
      </c>
      <c r="AH21" s="1812">
        <v>7870</v>
      </c>
      <c r="AI21" s="1425">
        <v>7325</v>
      </c>
      <c r="AJ21" s="1798">
        <f t="shared" si="22"/>
        <v>93.1</v>
      </c>
      <c r="AK21" s="1807">
        <v>7315</v>
      </c>
      <c r="AL21" s="1787">
        <f t="shared" si="23"/>
        <v>92.9</v>
      </c>
      <c r="AM21" s="1816">
        <v>7635</v>
      </c>
      <c r="AN21" s="1798">
        <f t="shared" si="9"/>
        <v>97</v>
      </c>
      <c r="AO21" s="1791">
        <v>7160</v>
      </c>
      <c r="AP21" s="1426">
        <f t="shared" si="10"/>
        <v>91</v>
      </c>
      <c r="AQ21" s="1430">
        <v>85</v>
      </c>
      <c r="AR21" s="1426">
        <f t="shared" si="16"/>
        <v>1.0800508259212198</v>
      </c>
      <c r="AS21" s="1430">
        <v>148</v>
      </c>
      <c r="AT21" s="1821">
        <v>100</v>
      </c>
      <c r="AU21" s="1783">
        <v>7343</v>
      </c>
      <c r="AV21" s="1798">
        <f t="shared" si="24"/>
        <v>93.3</v>
      </c>
      <c r="AW21" s="1791">
        <v>6216</v>
      </c>
      <c r="AX21" s="1787">
        <f t="shared" si="11"/>
        <v>79</v>
      </c>
      <c r="AY21" s="1783">
        <v>6216</v>
      </c>
      <c r="AZ21" s="1798">
        <f t="shared" si="12"/>
        <v>79</v>
      </c>
      <c r="BA21" s="1832">
        <v>8384</v>
      </c>
      <c r="BB21" s="1783">
        <v>7022</v>
      </c>
      <c r="BC21" s="1837">
        <f t="shared" si="13"/>
        <v>83.8</v>
      </c>
      <c r="BD21" s="1791">
        <v>7021</v>
      </c>
      <c r="BE21" s="1840">
        <f t="shared" si="14"/>
        <v>83.7</v>
      </c>
      <c r="BF21" s="1783">
        <v>7076</v>
      </c>
      <c r="BG21" s="1837">
        <f t="shared" si="15"/>
        <v>84.4</v>
      </c>
      <c r="BH21" s="1791">
        <v>2217</v>
      </c>
      <c r="BI21" s="1425">
        <v>11608</v>
      </c>
      <c r="BJ21" s="1848">
        <v>6474</v>
      </c>
      <c r="BK21" s="1783">
        <v>6217</v>
      </c>
      <c r="BL21" s="1854">
        <f t="shared" si="17"/>
        <v>78.900000000000006</v>
      </c>
      <c r="BM21" s="1791">
        <v>3889</v>
      </c>
      <c r="BN21" s="1425">
        <v>1454</v>
      </c>
      <c r="BO21" s="1431">
        <f t="shared" si="18"/>
        <v>37.387503214193877</v>
      </c>
      <c r="BP21" s="1764">
        <v>346</v>
      </c>
      <c r="BQ21" s="1432" t="s">
        <v>344</v>
      </c>
    </row>
    <row r="22" spans="1:69" s="1432" customFormat="1" ht="13.5" x14ac:dyDescent="0.25">
      <c r="A22" s="1424">
        <v>85</v>
      </c>
      <c r="B22" s="1758" t="s">
        <v>21</v>
      </c>
      <c r="C22" s="1772">
        <v>7308</v>
      </c>
      <c r="D22" s="1783">
        <v>6053</v>
      </c>
      <c r="E22" s="1787">
        <f t="shared" si="0"/>
        <v>82.8</v>
      </c>
      <c r="F22" s="1797">
        <v>5947</v>
      </c>
      <c r="G22" s="1426">
        <f t="shared" si="0"/>
        <v>81.400000000000006</v>
      </c>
      <c r="H22" s="1427">
        <v>35</v>
      </c>
      <c r="I22" s="1426">
        <f t="shared" si="0"/>
        <v>0.5</v>
      </c>
      <c r="J22" s="1427">
        <v>5982</v>
      </c>
      <c r="K22" s="1426">
        <f t="shared" si="1"/>
        <v>81.900000000000006</v>
      </c>
      <c r="L22" s="1425">
        <v>6461</v>
      </c>
      <c r="M22" s="1798">
        <f t="shared" si="2"/>
        <v>88.4</v>
      </c>
      <c r="N22" s="1791">
        <v>6500</v>
      </c>
      <c r="O22" s="1787">
        <f t="shared" si="2"/>
        <v>88.9</v>
      </c>
      <c r="P22" s="1783">
        <v>6471</v>
      </c>
      <c r="Q22" s="1426">
        <f t="shared" si="3"/>
        <v>88.5</v>
      </c>
      <c r="R22" s="1425">
        <v>6601</v>
      </c>
      <c r="S22" s="1426">
        <f t="shared" si="4"/>
        <v>90.3</v>
      </c>
      <c r="T22" s="1425">
        <v>6497</v>
      </c>
      <c r="U22" s="1798">
        <f t="shared" si="19"/>
        <v>88.9</v>
      </c>
      <c r="V22" s="1791">
        <v>6405</v>
      </c>
      <c r="W22" s="1426">
        <f t="shared" si="5"/>
        <v>87.6</v>
      </c>
      <c r="X22" s="1425">
        <v>6533</v>
      </c>
      <c r="Y22" s="1787">
        <f t="shared" si="6"/>
        <v>89.4</v>
      </c>
      <c r="Z22" s="1797">
        <v>6287</v>
      </c>
      <c r="AA22" s="1426">
        <f t="shared" si="20"/>
        <v>114.7</v>
      </c>
      <c r="AB22" s="1428">
        <v>5203</v>
      </c>
      <c r="AC22" s="1798">
        <f t="shared" si="21"/>
        <v>94.9</v>
      </c>
      <c r="AD22" s="1791">
        <v>6469</v>
      </c>
      <c r="AE22" s="1426">
        <f t="shared" si="7"/>
        <v>88.5</v>
      </c>
      <c r="AF22" s="1425">
        <v>6565</v>
      </c>
      <c r="AG22" s="1787">
        <f t="shared" si="8"/>
        <v>89.8</v>
      </c>
      <c r="AH22" s="1812">
        <v>7411</v>
      </c>
      <c r="AI22" s="1425">
        <v>6835</v>
      </c>
      <c r="AJ22" s="1798">
        <f t="shared" si="22"/>
        <v>92.2</v>
      </c>
      <c r="AK22" s="1807">
        <v>6827</v>
      </c>
      <c r="AL22" s="1787">
        <f t="shared" si="23"/>
        <v>92.1</v>
      </c>
      <c r="AM22" s="1816">
        <v>7037</v>
      </c>
      <c r="AN22" s="1798">
        <f t="shared" si="9"/>
        <v>95</v>
      </c>
      <c r="AO22" s="1791">
        <v>6846</v>
      </c>
      <c r="AP22" s="1426">
        <f t="shared" si="10"/>
        <v>92.4</v>
      </c>
      <c r="AQ22" s="1430">
        <v>15</v>
      </c>
      <c r="AR22" s="1426">
        <f t="shared" si="16"/>
        <v>0.20240183510997167</v>
      </c>
      <c r="AS22" s="1430">
        <v>26</v>
      </c>
      <c r="AT22" s="1821">
        <v>35</v>
      </c>
      <c r="AU22" s="1783">
        <v>6851</v>
      </c>
      <c r="AV22" s="1798">
        <f t="shared" si="24"/>
        <v>92.4</v>
      </c>
      <c r="AW22" s="1791">
        <v>6613</v>
      </c>
      <c r="AX22" s="1787">
        <f t="shared" si="11"/>
        <v>89.2</v>
      </c>
      <c r="AY22" s="1783">
        <v>6612</v>
      </c>
      <c r="AZ22" s="1798">
        <f t="shared" si="12"/>
        <v>89.2</v>
      </c>
      <c r="BA22" s="1832">
        <v>7687</v>
      </c>
      <c r="BB22" s="1783">
        <v>7057</v>
      </c>
      <c r="BC22" s="1837">
        <f t="shared" si="13"/>
        <v>91.8</v>
      </c>
      <c r="BD22" s="1791">
        <v>7056</v>
      </c>
      <c r="BE22" s="1840">
        <f t="shared" si="14"/>
        <v>91.8</v>
      </c>
      <c r="BF22" s="1783">
        <v>7055</v>
      </c>
      <c r="BG22" s="1837">
        <f t="shared" si="15"/>
        <v>91.8</v>
      </c>
      <c r="BH22" s="1791">
        <v>2376</v>
      </c>
      <c r="BI22" s="1425">
        <v>11389</v>
      </c>
      <c r="BJ22" s="1848">
        <v>5376</v>
      </c>
      <c r="BK22" s="1783">
        <v>5460</v>
      </c>
      <c r="BL22" s="1854">
        <f t="shared" si="17"/>
        <v>74.7</v>
      </c>
      <c r="BM22" s="1791">
        <v>3246</v>
      </c>
      <c r="BN22" s="1425">
        <v>906</v>
      </c>
      <c r="BO22" s="1431">
        <f t="shared" si="18"/>
        <v>27.911275415896487</v>
      </c>
      <c r="BP22" s="1764">
        <v>241</v>
      </c>
      <c r="BQ22" s="1432" t="s">
        <v>346</v>
      </c>
    </row>
    <row r="23" spans="1:69" s="1432" customFormat="1" ht="13.5" x14ac:dyDescent="0.25">
      <c r="A23" s="1424">
        <v>19</v>
      </c>
      <c r="B23" s="1759" t="s">
        <v>18</v>
      </c>
      <c r="C23" s="1772">
        <v>22109</v>
      </c>
      <c r="D23" s="1783">
        <v>16596</v>
      </c>
      <c r="E23" s="1787">
        <f t="shared" si="0"/>
        <v>75.099999999999994</v>
      </c>
      <c r="F23" s="1797">
        <v>14272</v>
      </c>
      <c r="G23" s="1426">
        <f t="shared" si="0"/>
        <v>64.599999999999994</v>
      </c>
      <c r="H23" s="1427">
        <v>1944</v>
      </c>
      <c r="I23" s="1426">
        <f t="shared" si="0"/>
        <v>8.8000000000000007</v>
      </c>
      <c r="J23" s="1427">
        <v>16216</v>
      </c>
      <c r="K23" s="1426">
        <f t="shared" si="1"/>
        <v>73.3</v>
      </c>
      <c r="L23" s="1425">
        <v>19546</v>
      </c>
      <c r="M23" s="1798">
        <f t="shared" si="2"/>
        <v>88.4</v>
      </c>
      <c r="N23" s="1791">
        <v>20543</v>
      </c>
      <c r="O23" s="1787">
        <f t="shared" si="2"/>
        <v>92.9</v>
      </c>
      <c r="P23" s="1783">
        <v>19548</v>
      </c>
      <c r="Q23" s="1426">
        <f t="shared" si="3"/>
        <v>88.4</v>
      </c>
      <c r="R23" s="1425">
        <v>19797</v>
      </c>
      <c r="S23" s="1426">
        <f t="shared" si="4"/>
        <v>89.5</v>
      </c>
      <c r="T23" s="1425">
        <v>20547</v>
      </c>
      <c r="U23" s="1798">
        <f t="shared" si="19"/>
        <v>92.94</v>
      </c>
      <c r="V23" s="1791">
        <v>19020</v>
      </c>
      <c r="W23" s="1426">
        <f t="shared" si="5"/>
        <v>86</v>
      </c>
      <c r="X23" s="1425">
        <v>19352</v>
      </c>
      <c r="Y23" s="1787">
        <f t="shared" si="6"/>
        <v>87.5</v>
      </c>
      <c r="Z23" s="1797">
        <v>18890</v>
      </c>
      <c r="AA23" s="1426">
        <f t="shared" si="20"/>
        <v>113.9</v>
      </c>
      <c r="AB23" s="1428">
        <v>14340</v>
      </c>
      <c r="AC23" s="1798">
        <f t="shared" si="21"/>
        <v>86.5</v>
      </c>
      <c r="AD23" s="1791">
        <v>19571</v>
      </c>
      <c r="AE23" s="1426">
        <f t="shared" si="7"/>
        <v>88.5</v>
      </c>
      <c r="AF23" s="1425">
        <v>19960</v>
      </c>
      <c r="AG23" s="1787">
        <f t="shared" si="8"/>
        <v>90.3</v>
      </c>
      <c r="AH23" s="1812">
        <v>22724</v>
      </c>
      <c r="AI23" s="1425">
        <v>21279</v>
      </c>
      <c r="AJ23" s="1798">
        <f t="shared" si="22"/>
        <v>93.6</v>
      </c>
      <c r="AK23" s="1807">
        <v>21097</v>
      </c>
      <c r="AL23" s="1787">
        <f t="shared" si="23"/>
        <v>92.8</v>
      </c>
      <c r="AM23" s="1816">
        <v>18806</v>
      </c>
      <c r="AN23" s="1798">
        <f t="shared" si="9"/>
        <v>82.8</v>
      </c>
      <c r="AO23" s="1791">
        <v>21362</v>
      </c>
      <c r="AP23" s="1426">
        <f t="shared" si="10"/>
        <v>94</v>
      </c>
      <c r="AQ23" s="1430">
        <v>87</v>
      </c>
      <c r="AR23" s="1426">
        <f t="shared" si="16"/>
        <v>0.38285513113888398</v>
      </c>
      <c r="AS23" s="1430">
        <v>179</v>
      </c>
      <c r="AT23" s="1821">
        <v>133</v>
      </c>
      <c r="AU23" s="1783">
        <v>21134</v>
      </c>
      <c r="AV23" s="1798">
        <f t="shared" si="24"/>
        <v>93</v>
      </c>
      <c r="AW23" s="1791">
        <v>18884</v>
      </c>
      <c r="AX23" s="1787">
        <f t="shared" si="11"/>
        <v>83.1</v>
      </c>
      <c r="AY23" s="1783">
        <v>18896</v>
      </c>
      <c r="AZ23" s="1798">
        <f t="shared" si="12"/>
        <v>83.2</v>
      </c>
      <c r="BA23" s="1832">
        <v>23406</v>
      </c>
      <c r="BB23" s="1783">
        <v>20863</v>
      </c>
      <c r="BC23" s="1837">
        <f t="shared" si="13"/>
        <v>89.1</v>
      </c>
      <c r="BD23" s="1791">
        <v>20845</v>
      </c>
      <c r="BE23" s="1840">
        <f t="shared" si="14"/>
        <v>89.1</v>
      </c>
      <c r="BF23" s="1783">
        <v>20858</v>
      </c>
      <c r="BG23" s="1837">
        <f t="shared" si="15"/>
        <v>89.1</v>
      </c>
      <c r="BH23" s="1791">
        <v>5429</v>
      </c>
      <c r="BI23" s="1425">
        <v>45100</v>
      </c>
      <c r="BJ23" s="1848">
        <v>15132</v>
      </c>
      <c r="BK23" s="1783">
        <v>16179</v>
      </c>
      <c r="BL23" s="1854">
        <f t="shared" si="17"/>
        <v>73.2</v>
      </c>
      <c r="BM23" s="1791">
        <v>10592</v>
      </c>
      <c r="BN23" s="1425">
        <v>3474</v>
      </c>
      <c r="BO23" s="1431">
        <f t="shared" si="18"/>
        <v>32.798338368580062</v>
      </c>
      <c r="BP23" s="1764">
        <v>738</v>
      </c>
      <c r="BQ23" s="1432" t="s">
        <v>352</v>
      </c>
    </row>
    <row r="24" spans="1:69" s="1432" customFormat="1" ht="13.5" x14ac:dyDescent="0.25">
      <c r="A24" s="1424">
        <v>20</v>
      </c>
      <c r="B24" s="1759" t="s">
        <v>22</v>
      </c>
      <c r="C24" s="1772">
        <v>23192</v>
      </c>
      <c r="D24" s="1783">
        <v>22214</v>
      </c>
      <c r="E24" s="1787">
        <f t="shared" si="0"/>
        <v>95.8</v>
      </c>
      <c r="F24" s="1797">
        <v>21069</v>
      </c>
      <c r="G24" s="1426">
        <f t="shared" si="0"/>
        <v>90.8</v>
      </c>
      <c r="H24" s="1427">
        <v>400</v>
      </c>
      <c r="I24" s="1426">
        <f t="shared" si="0"/>
        <v>1.7</v>
      </c>
      <c r="J24" s="1427">
        <v>21469</v>
      </c>
      <c r="K24" s="1426">
        <f t="shared" si="1"/>
        <v>92.6</v>
      </c>
      <c r="L24" s="1425">
        <v>23437</v>
      </c>
      <c r="M24" s="1798">
        <f t="shared" si="2"/>
        <v>101.1</v>
      </c>
      <c r="N24" s="1791">
        <v>22560</v>
      </c>
      <c r="O24" s="1787">
        <f t="shared" si="2"/>
        <v>97.3</v>
      </c>
      <c r="P24" s="1783">
        <v>23433</v>
      </c>
      <c r="Q24" s="1426">
        <f t="shared" si="3"/>
        <v>101</v>
      </c>
      <c r="R24" s="1425">
        <v>23095</v>
      </c>
      <c r="S24" s="1426">
        <f t="shared" si="4"/>
        <v>99.6</v>
      </c>
      <c r="T24" s="1425">
        <v>22573</v>
      </c>
      <c r="U24" s="1798">
        <f t="shared" si="19"/>
        <v>97.33</v>
      </c>
      <c r="V24" s="1791">
        <v>21520</v>
      </c>
      <c r="W24" s="1426">
        <f t="shared" si="5"/>
        <v>92.8</v>
      </c>
      <c r="X24" s="1425">
        <v>20946</v>
      </c>
      <c r="Y24" s="1787">
        <f t="shared" si="6"/>
        <v>90.3</v>
      </c>
      <c r="Z24" s="1797">
        <v>20959</v>
      </c>
      <c r="AA24" s="1426">
        <f t="shared" si="20"/>
        <v>120.5</v>
      </c>
      <c r="AB24" s="1428">
        <v>15682</v>
      </c>
      <c r="AC24" s="1798">
        <f t="shared" si="21"/>
        <v>90.2</v>
      </c>
      <c r="AD24" s="1791">
        <v>25013</v>
      </c>
      <c r="AE24" s="1426">
        <f t="shared" si="7"/>
        <v>107.9</v>
      </c>
      <c r="AF24" s="1425">
        <v>23750</v>
      </c>
      <c r="AG24" s="1787">
        <f t="shared" si="8"/>
        <v>102.4</v>
      </c>
      <c r="AH24" s="1812">
        <v>23773</v>
      </c>
      <c r="AI24" s="1425">
        <v>24429</v>
      </c>
      <c r="AJ24" s="1798">
        <f t="shared" si="22"/>
        <v>102.8</v>
      </c>
      <c r="AK24" s="1807">
        <v>24178</v>
      </c>
      <c r="AL24" s="1787">
        <f t="shared" si="23"/>
        <v>101.7</v>
      </c>
      <c r="AM24" s="1816">
        <v>21647</v>
      </c>
      <c r="AN24" s="1798">
        <f t="shared" si="9"/>
        <v>91.1</v>
      </c>
      <c r="AO24" s="1791">
        <v>23830</v>
      </c>
      <c r="AP24" s="1426">
        <f t="shared" si="10"/>
        <v>100.2</v>
      </c>
      <c r="AQ24" s="1430">
        <v>1286</v>
      </c>
      <c r="AR24" s="1426">
        <f t="shared" si="16"/>
        <v>5.4094981701930767</v>
      </c>
      <c r="AS24" s="1430">
        <v>1091</v>
      </c>
      <c r="AT24" s="1821">
        <v>1788</v>
      </c>
      <c r="AU24" s="1783">
        <v>24789</v>
      </c>
      <c r="AV24" s="1798">
        <f t="shared" si="24"/>
        <v>104.3</v>
      </c>
      <c r="AW24" s="1791">
        <v>20559</v>
      </c>
      <c r="AX24" s="1787">
        <f t="shared" si="11"/>
        <v>86.5</v>
      </c>
      <c r="AY24" s="1783">
        <v>20519</v>
      </c>
      <c r="AZ24" s="1798">
        <f t="shared" si="12"/>
        <v>86.3</v>
      </c>
      <c r="BA24" s="1832">
        <v>25149</v>
      </c>
      <c r="BB24" s="1783">
        <v>22543</v>
      </c>
      <c r="BC24" s="1837">
        <f t="shared" si="13"/>
        <v>89.6</v>
      </c>
      <c r="BD24" s="1791">
        <v>22464</v>
      </c>
      <c r="BE24" s="1840">
        <f t="shared" si="14"/>
        <v>89.3</v>
      </c>
      <c r="BF24" s="1783">
        <v>22564</v>
      </c>
      <c r="BG24" s="1837">
        <f t="shared" si="15"/>
        <v>89.7</v>
      </c>
      <c r="BH24" s="1791">
        <v>6433</v>
      </c>
      <c r="BI24" s="1425">
        <v>27847</v>
      </c>
      <c r="BJ24" s="1848">
        <v>18907</v>
      </c>
      <c r="BK24" s="1783">
        <v>20879</v>
      </c>
      <c r="BL24" s="1854">
        <f t="shared" si="17"/>
        <v>90</v>
      </c>
      <c r="BM24" s="1791">
        <v>9539</v>
      </c>
      <c r="BN24" s="1425">
        <v>2759</v>
      </c>
      <c r="BO24" s="1431">
        <f t="shared" si="18"/>
        <v>28.923367229269314</v>
      </c>
      <c r="BP24" s="1764">
        <v>485</v>
      </c>
      <c r="BQ24" s="1432" t="s">
        <v>347</v>
      </c>
    </row>
    <row r="25" spans="1:69" s="1432" customFormat="1" ht="13.5" x14ac:dyDescent="0.25">
      <c r="A25" s="1424" t="s">
        <v>264</v>
      </c>
      <c r="B25" s="1759" t="s">
        <v>24</v>
      </c>
      <c r="C25" s="1772">
        <v>10788</v>
      </c>
      <c r="D25" s="1783">
        <v>9441</v>
      </c>
      <c r="E25" s="1787">
        <f t="shared" si="0"/>
        <v>87.5</v>
      </c>
      <c r="F25" s="1797">
        <v>5750</v>
      </c>
      <c r="G25" s="1426">
        <f t="shared" si="0"/>
        <v>53.3</v>
      </c>
      <c r="H25" s="1427">
        <v>1346</v>
      </c>
      <c r="I25" s="1426">
        <f t="shared" si="0"/>
        <v>12.5</v>
      </c>
      <c r="J25" s="1427">
        <v>7096</v>
      </c>
      <c r="K25" s="1426">
        <f t="shared" si="1"/>
        <v>65.8</v>
      </c>
      <c r="L25" s="1425">
        <v>10886</v>
      </c>
      <c r="M25" s="1798">
        <f t="shared" si="2"/>
        <v>100.9</v>
      </c>
      <c r="N25" s="1791">
        <v>9192</v>
      </c>
      <c r="O25" s="1787">
        <f t="shared" si="2"/>
        <v>85.2</v>
      </c>
      <c r="P25" s="1783">
        <v>10889</v>
      </c>
      <c r="Q25" s="1426">
        <f t="shared" si="3"/>
        <v>100.9</v>
      </c>
      <c r="R25" s="1425">
        <v>10000</v>
      </c>
      <c r="S25" s="1426">
        <f t="shared" si="4"/>
        <v>92.7</v>
      </c>
      <c r="T25" s="1425">
        <v>9199</v>
      </c>
      <c r="U25" s="1798">
        <f t="shared" si="19"/>
        <v>85.27</v>
      </c>
      <c r="V25" s="1791">
        <v>8622</v>
      </c>
      <c r="W25" s="1426">
        <f t="shared" si="5"/>
        <v>79.900000000000006</v>
      </c>
      <c r="X25" s="1425">
        <v>8446</v>
      </c>
      <c r="Y25" s="1787">
        <f t="shared" si="6"/>
        <v>78.3</v>
      </c>
      <c r="Z25" s="1797">
        <v>9353</v>
      </c>
      <c r="AA25" s="1426">
        <f t="shared" si="20"/>
        <v>115.6</v>
      </c>
      <c r="AB25" s="1428">
        <v>5556</v>
      </c>
      <c r="AC25" s="1798">
        <f t="shared" si="21"/>
        <v>68.7</v>
      </c>
      <c r="AD25" s="1791">
        <v>10798</v>
      </c>
      <c r="AE25" s="1426">
        <f t="shared" si="7"/>
        <v>100.1</v>
      </c>
      <c r="AF25" s="1425">
        <v>9948</v>
      </c>
      <c r="AG25" s="1787">
        <f t="shared" si="8"/>
        <v>92.2</v>
      </c>
      <c r="AH25" s="1812">
        <v>11304</v>
      </c>
      <c r="AI25" s="1425">
        <v>10747</v>
      </c>
      <c r="AJ25" s="1798">
        <f t="shared" si="22"/>
        <v>95.1</v>
      </c>
      <c r="AK25" s="1807">
        <v>10841</v>
      </c>
      <c r="AL25" s="1787">
        <f t="shared" si="23"/>
        <v>95.9</v>
      </c>
      <c r="AM25" s="1816">
        <v>11099</v>
      </c>
      <c r="AN25" s="1798">
        <f t="shared" si="9"/>
        <v>98.2</v>
      </c>
      <c r="AO25" s="1791">
        <v>10169</v>
      </c>
      <c r="AP25" s="1426">
        <f t="shared" si="10"/>
        <v>90</v>
      </c>
      <c r="AQ25" s="1430">
        <v>254</v>
      </c>
      <c r="AR25" s="1426">
        <f t="shared" si="16"/>
        <v>2.2469922151450814</v>
      </c>
      <c r="AS25" s="1430">
        <v>699</v>
      </c>
      <c r="AT25" s="1821">
        <v>107</v>
      </c>
      <c r="AU25" s="1783">
        <v>10896</v>
      </c>
      <c r="AV25" s="1798">
        <f t="shared" si="24"/>
        <v>96.4</v>
      </c>
      <c r="AW25" s="1791">
        <v>6780</v>
      </c>
      <c r="AX25" s="1787">
        <f t="shared" si="11"/>
        <v>60</v>
      </c>
      <c r="AY25" s="1783">
        <v>6781</v>
      </c>
      <c r="AZ25" s="1798">
        <f t="shared" si="12"/>
        <v>60</v>
      </c>
      <c r="BA25" s="1832">
        <v>11469</v>
      </c>
      <c r="BB25" s="1783">
        <v>8816</v>
      </c>
      <c r="BC25" s="1837">
        <f t="shared" si="13"/>
        <v>76.900000000000006</v>
      </c>
      <c r="BD25" s="1791">
        <v>8815</v>
      </c>
      <c r="BE25" s="1840">
        <f t="shared" si="14"/>
        <v>76.900000000000006</v>
      </c>
      <c r="BF25" s="1783">
        <v>8878</v>
      </c>
      <c r="BG25" s="1837">
        <f t="shared" si="15"/>
        <v>77.400000000000006</v>
      </c>
      <c r="BH25" s="1791">
        <v>2055</v>
      </c>
      <c r="BI25" s="1425">
        <v>6203</v>
      </c>
      <c r="BJ25" s="1848">
        <v>6777</v>
      </c>
      <c r="BK25" s="1783">
        <v>6937</v>
      </c>
      <c r="BL25" s="1854">
        <f t="shared" si="17"/>
        <v>64.3</v>
      </c>
      <c r="BM25" s="1791">
        <v>4485</v>
      </c>
      <c r="BN25" s="1425">
        <v>1342</v>
      </c>
      <c r="BO25" s="1431">
        <f t="shared" si="18"/>
        <v>29.921962095875138</v>
      </c>
      <c r="BP25" s="1764">
        <v>356</v>
      </c>
      <c r="BQ25" s="1432" t="s">
        <v>352</v>
      </c>
    </row>
    <row r="26" spans="1:69" s="1432" customFormat="1" ht="13.5" x14ac:dyDescent="0.25">
      <c r="A26" s="1424">
        <v>23</v>
      </c>
      <c r="B26" s="1759" t="s">
        <v>64</v>
      </c>
      <c r="C26" s="1772">
        <v>31959</v>
      </c>
      <c r="D26" s="1783">
        <v>26796</v>
      </c>
      <c r="E26" s="1787">
        <f t="shared" si="0"/>
        <v>83.8</v>
      </c>
      <c r="F26" s="1797">
        <v>24747</v>
      </c>
      <c r="G26" s="1426">
        <f t="shared" si="0"/>
        <v>77.400000000000006</v>
      </c>
      <c r="H26" s="1427">
        <v>1316</v>
      </c>
      <c r="I26" s="1426">
        <f t="shared" si="0"/>
        <v>4.0999999999999996</v>
      </c>
      <c r="J26" s="1427">
        <v>26063</v>
      </c>
      <c r="K26" s="1426">
        <f t="shared" si="1"/>
        <v>81.599999999999994</v>
      </c>
      <c r="L26" s="1425">
        <v>27894</v>
      </c>
      <c r="M26" s="1798">
        <f t="shared" si="2"/>
        <v>87.3</v>
      </c>
      <c r="N26" s="1791">
        <v>27831</v>
      </c>
      <c r="O26" s="1787">
        <f t="shared" si="2"/>
        <v>87.1</v>
      </c>
      <c r="P26" s="1783">
        <v>27829</v>
      </c>
      <c r="Q26" s="1426">
        <f t="shared" si="3"/>
        <v>87.1</v>
      </c>
      <c r="R26" s="1425">
        <v>27914</v>
      </c>
      <c r="S26" s="1426">
        <f t="shared" si="4"/>
        <v>87.3</v>
      </c>
      <c r="T26" s="1425">
        <v>27811</v>
      </c>
      <c r="U26" s="1798">
        <f t="shared" si="19"/>
        <v>87.02</v>
      </c>
      <c r="V26" s="1791">
        <v>27204</v>
      </c>
      <c r="W26" s="1426">
        <f t="shared" si="5"/>
        <v>85.1</v>
      </c>
      <c r="X26" s="1425">
        <v>27417</v>
      </c>
      <c r="Y26" s="1787">
        <f t="shared" si="6"/>
        <v>85.8</v>
      </c>
      <c r="Z26" s="1797">
        <v>26537</v>
      </c>
      <c r="AA26" s="1426">
        <f t="shared" si="20"/>
        <v>110.7</v>
      </c>
      <c r="AB26" s="1428">
        <v>20960</v>
      </c>
      <c r="AC26" s="1798">
        <f t="shared" si="21"/>
        <v>87.4</v>
      </c>
      <c r="AD26" s="1791">
        <v>27915</v>
      </c>
      <c r="AE26" s="1426">
        <f t="shared" si="7"/>
        <v>87.3</v>
      </c>
      <c r="AF26" s="1425">
        <v>27938</v>
      </c>
      <c r="AG26" s="1787">
        <f t="shared" si="8"/>
        <v>87.4</v>
      </c>
      <c r="AH26" s="1812">
        <v>32140</v>
      </c>
      <c r="AI26" s="1425">
        <v>29019</v>
      </c>
      <c r="AJ26" s="1798">
        <f t="shared" si="22"/>
        <v>90.3</v>
      </c>
      <c r="AK26" s="1807">
        <v>28999</v>
      </c>
      <c r="AL26" s="1787">
        <f t="shared" si="23"/>
        <v>90.2</v>
      </c>
      <c r="AM26" s="1816">
        <v>27002</v>
      </c>
      <c r="AN26" s="1798">
        <f t="shared" si="9"/>
        <v>84</v>
      </c>
      <c r="AO26" s="1791">
        <v>28682</v>
      </c>
      <c r="AP26" s="1426">
        <f t="shared" si="10"/>
        <v>89.2</v>
      </c>
      <c r="AQ26" s="1430">
        <v>219</v>
      </c>
      <c r="AR26" s="1426">
        <f t="shared" si="16"/>
        <v>0.68139390168014935</v>
      </c>
      <c r="AS26" s="1430">
        <v>286</v>
      </c>
      <c r="AT26" s="1821">
        <v>510</v>
      </c>
      <c r="AU26" s="1783">
        <v>29043</v>
      </c>
      <c r="AV26" s="1798">
        <f t="shared" si="24"/>
        <v>90.4</v>
      </c>
      <c r="AW26" s="1791">
        <v>26943</v>
      </c>
      <c r="AX26" s="1787">
        <f t="shared" si="11"/>
        <v>83.8</v>
      </c>
      <c r="AY26" s="1783">
        <v>27030</v>
      </c>
      <c r="AZ26" s="1798">
        <f t="shared" si="12"/>
        <v>84.1</v>
      </c>
      <c r="BA26" s="1832">
        <v>33063</v>
      </c>
      <c r="BB26" s="1783">
        <v>28619</v>
      </c>
      <c r="BC26" s="1837">
        <f t="shared" si="13"/>
        <v>86.6</v>
      </c>
      <c r="BD26" s="1791">
        <v>28658</v>
      </c>
      <c r="BE26" s="1840">
        <f t="shared" si="14"/>
        <v>86.7</v>
      </c>
      <c r="BF26" s="1783">
        <v>28656</v>
      </c>
      <c r="BG26" s="1837">
        <f t="shared" si="15"/>
        <v>86.7</v>
      </c>
      <c r="BH26" s="1791">
        <v>11689</v>
      </c>
      <c r="BI26" s="1425">
        <v>26705</v>
      </c>
      <c r="BJ26" s="1848">
        <v>23031</v>
      </c>
      <c r="BK26" s="1783">
        <v>24452</v>
      </c>
      <c r="BL26" s="1854">
        <f t="shared" si="17"/>
        <v>76.5</v>
      </c>
      <c r="BM26" s="1791">
        <v>15629</v>
      </c>
      <c r="BN26" s="1425">
        <v>3780</v>
      </c>
      <c r="BO26" s="1431">
        <f t="shared" si="18"/>
        <v>24.185808433041142</v>
      </c>
      <c r="BP26" s="1764">
        <v>694</v>
      </c>
      <c r="BQ26" s="1432" t="s">
        <v>347</v>
      </c>
    </row>
    <row r="27" spans="1:69" s="1432" customFormat="1" ht="13.5" x14ac:dyDescent="0.25">
      <c r="A27" s="1424">
        <v>25</v>
      </c>
      <c r="B27" s="1759" t="s">
        <v>122</v>
      </c>
      <c r="C27" s="1772">
        <v>34881</v>
      </c>
      <c r="D27" s="1783">
        <v>17249</v>
      </c>
      <c r="E27" s="1787">
        <f t="shared" si="0"/>
        <v>49.5</v>
      </c>
      <c r="F27" s="1797">
        <v>14295</v>
      </c>
      <c r="G27" s="1426">
        <f t="shared" si="0"/>
        <v>41</v>
      </c>
      <c r="H27" s="1427">
        <v>2837</v>
      </c>
      <c r="I27" s="1426">
        <f t="shared" si="0"/>
        <v>8.1</v>
      </c>
      <c r="J27" s="1427">
        <v>17132</v>
      </c>
      <c r="K27" s="1426">
        <f t="shared" si="1"/>
        <v>49.1</v>
      </c>
      <c r="L27" s="1425">
        <v>31368</v>
      </c>
      <c r="M27" s="1798">
        <f t="shared" si="2"/>
        <v>89.9</v>
      </c>
      <c r="N27" s="1791">
        <v>33684</v>
      </c>
      <c r="O27" s="1787">
        <f t="shared" si="2"/>
        <v>96.6</v>
      </c>
      <c r="P27" s="1783">
        <v>31361</v>
      </c>
      <c r="Q27" s="1426">
        <f t="shared" si="3"/>
        <v>89.9</v>
      </c>
      <c r="R27" s="1425">
        <v>32643</v>
      </c>
      <c r="S27" s="1426">
        <f t="shared" si="4"/>
        <v>93.6</v>
      </c>
      <c r="T27" s="1425">
        <v>33683</v>
      </c>
      <c r="U27" s="1798">
        <f t="shared" si="19"/>
        <v>96.57</v>
      </c>
      <c r="V27" s="1791">
        <v>31053</v>
      </c>
      <c r="W27" s="1426">
        <f t="shared" si="5"/>
        <v>89</v>
      </c>
      <c r="X27" s="1425">
        <v>32361</v>
      </c>
      <c r="Y27" s="1787">
        <f t="shared" si="6"/>
        <v>92.8</v>
      </c>
      <c r="Z27" s="1797">
        <v>29321</v>
      </c>
      <c r="AA27" s="1426">
        <f t="shared" si="20"/>
        <v>112.1</v>
      </c>
      <c r="AB27" s="1428">
        <v>20636</v>
      </c>
      <c r="AC27" s="1798">
        <f t="shared" si="21"/>
        <v>78.900000000000006</v>
      </c>
      <c r="AD27" s="1791">
        <v>31528</v>
      </c>
      <c r="AE27" s="1426">
        <f t="shared" si="7"/>
        <v>90.4</v>
      </c>
      <c r="AF27" s="1425">
        <v>32691</v>
      </c>
      <c r="AG27" s="1787">
        <f t="shared" si="8"/>
        <v>93.7</v>
      </c>
      <c r="AH27" s="1812">
        <v>36013</v>
      </c>
      <c r="AI27" s="1425">
        <v>35425</v>
      </c>
      <c r="AJ27" s="1798">
        <f t="shared" si="22"/>
        <v>98.4</v>
      </c>
      <c r="AK27" s="1807">
        <v>35601</v>
      </c>
      <c r="AL27" s="1787">
        <f t="shared" si="23"/>
        <v>98.9</v>
      </c>
      <c r="AM27" s="1816">
        <v>32690</v>
      </c>
      <c r="AN27" s="1798">
        <f t="shared" si="9"/>
        <v>90.8</v>
      </c>
      <c r="AO27" s="1791">
        <v>35324</v>
      </c>
      <c r="AP27" s="1426">
        <f t="shared" si="10"/>
        <v>98.1</v>
      </c>
      <c r="AQ27" s="1430">
        <v>218</v>
      </c>
      <c r="AR27" s="1426">
        <f t="shared" si="16"/>
        <v>0.60533696165273654</v>
      </c>
      <c r="AS27" s="1430">
        <v>198</v>
      </c>
      <c r="AT27" s="1821">
        <v>510</v>
      </c>
      <c r="AU27" s="1783">
        <v>36087</v>
      </c>
      <c r="AV27" s="1798">
        <f t="shared" si="24"/>
        <v>100.2</v>
      </c>
      <c r="AW27" s="1791">
        <v>32802</v>
      </c>
      <c r="AX27" s="1787">
        <f t="shared" si="11"/>
        <v>91.1</v>
      </c>
      <c r="AY27" s="1783">
        <v>32850</v>
      </c>
      <c r="AZ27" s="1798">
        <f t="shared" si="12"/>
        <v>91.2</v>
      </c>
      <c r="BA27" s="1832">
        <v>38315</v>
      </c>
      <c r="BB27" s="1783">
        <v>35614</v>
      </c>
      <c r="BC27" s="1837">
        <f t="shared" si="13"/>
        <v>93</v>
      </c>
      <c r="BD27" s="1791">
        <v>35720</v>
      </c>
      <c r="BE27" s="1840">
        <f t="shared" si="14"/>
        <v>93.2</v>
      </c>
      <c r="BF27" s="1783">
        <v>35729</v>
      </c>
      <c r="BG27" s="1837">
        <f t="shared" si="15"/>
        <v>93.3</v>
      </c>
      <c r="BH27" s="1791">
        <v>15669</v>
      </c>
      <c r="BI27" s="1425">
        <v>79230</v>
      </c>
      <c r="BJ27" s="1848">
        <v>19870</v>
      </c>
      <c r="BK27" s="1783">
        <v>25694</v>
      </c>
      <c r="BL27" s="1854">
        <f t="shared" si="17"/>
        <v>73.7</v>
      </c>
      <c r="BM27" s="1791">
        <v>20541</v>
      </c>
      <c r="BN27" s="1425">
        <v>4647</v>
      </c>
      <c r="BO27" s="1431">
        <f t="shared" si="18"/>
        <v>22.623046589747332</v>
      </c>
      <c r="BP27" s="1764">
        <v>737</v>
      </c>
      <c r="BQ27" s="1432" t="s">
        <v>345</v>
      </c>
    </row>
    <row r="28" spans="1:69" s="1432" customFormat="1" ht="13.5" x14ac:dyDescent="0.25">
      <c r="A28" s="1424">
        <v>94</v>
      </c>
      <c r="B28" s="1759" t="s">
        <v>65</v>
      </c>
      <c r="C28" s="1772">
        <v>842</v>
      </c>
      <c r="D28" s="1783">
        <v>1048</v>
      </c>
      <c r="E28" s="1787">
        <f t="shared" si="0"/>
        <v>124.5</v>
      </c>
      <c r="F28" s="1797">
        <v>861</v>
      </c>
      <c r="G28" s="1426">
        <f t="shared" si="0"/>
        <v>102.3</v>
      </c>
      <c r="H28" s="1427">
        <v>7</v>
      </c>
      <c r="I28" s="1426">
        <f t="shared" si="0"/>
        <v>0.8</v>
      </c>
      <c r="J28" s="1427">
        <v>868</v>
      </c>
      <c r="K28" s="1426">
        <f t="shared" si="1"/>
        <v>103.1</v>
      </c>
      <c r="L28" s="1425">
        <v>1034</v>
      </c>
      <c r="M28" s="1798">
        <f t="shared" si="2"/>
        <v>122.8</v>
      </c>
      <c r="N28" s="1791">
        <v>893</v>
      </c>
      <c r="O28" s="1787">
        <f t="shared" si="2"/>
        <v>106.1</v>
      </c>
      <c r="P28" s="1783">
        <v>1033</v>
      </c>
      <c r="Q28" s="1426">
        <f t="shared" si="3"/>
        <v>122.7</v>
      </c>
      <c r="R28" s="1425">
        <v>943</v>
      </c>
      <c r="S28" s="1426">
        <f t="shared" si="4"/>
        <v>112</v>
      </c>
      <c r="T28" s="1425">
        <v>893</v>
      </c>
      <c r="U28" s="1798">
        <f t="shared" si="19"/>
        <v>106.06</v>
      </c>
      <c r="V28" s="1791">
        <v>822</v>
      </c>
      <c r="W28" s="1426">
        <f t="shared" si="5"/>
        <v>97.6</v>
      </c>
      <c r="X28" s="1425">
        <v>789</v>
      </c>
      <c r="Y28" s="1787">
        <f t="shared" si="6"/>
        <v>93.7</v>
      </c>
      <c r="Z28" s="1797">
        <v>790</v>
      </c>
      <c r="AA28" s="1426">
        <f t="shared" si="20"/>
        <v>125.1</v>
      </c>
      <c r="AB28" s="1428">
        <v>552</v>
      </c>
      <c r="AC28" s="1798">
        <f t="shared" si="21"/>
        <v>87.4</v>
      </c>
      <c r="AD28" s="1791">
        <v>1044</v>
      </c>
      <c r="AE28" s="1426">
        <f t="shared" si="7"/>
        <v>124</v>
      </c>
      <c r="AF28" s="1425">
        <v>938</v>
      </c>
      <c r="AG28" s="1787">
        <f t="shared" si="8"/>
        <v>111.4</v>
      </c>
      <c r="AH28" s="1812">
        <v>884</v>
      </c>
      <c r="AI28" s="1425">
        <v>1032</v>
      </c>
      <c r="AJ28" s="1798">
        <f t="shared" si="22"/>
        <v>116.7</v>
      </c>
      <c r="AK28" s="1807">
        <v>1019</v>
      </c>
      <c r="AL28" s="1787">
        <f t="shared" si="23"/>
        <v>115.3</v>
      </c>
      <c r="AM28" s="1816">
        <v>1045</v>
      </c>
      <c r="AN28" s="1798">
        <f t="shared" si="9"/>
        <v>118.2</v>
      </c>
      <c r="AO28" s="1791">
        <v>946</v>
      </c>
      <c r="AP28" s="1426">
        <f t="shared" si="10"/>
        <v>107</v>
      </c>
      <c r="AQ28" s="1430">
        <v>67</v>
      </c>
      <c r="AR28" s="1426">
        <f t="shared" si="16"/>
        <v>7.5791855203619907</v>
      </c>
      <c r="AS28" s="1430">
        <v>104</v>
      </c>
      <c r="AT28" s="1821">
        <v>76</v>
      </c>
      <c r="AU28" s="1783">
        <v>1042</v>
      </c>
      <c r="AV28" s="1798">
        <f t="shared" si="24"/>
        <v>117.9</v>
      </c>
      <c r="AW28" s="1791">
        <v>648</v>
      </c>
      <c r="AX28" s="1787">
        <f t="shared" si="11"/>
        <v>73.3</v>
      </c>
      <c r="AY28" s="1783">
        <v>649</v>
      </c>
      <c r="AZ28" s="1798">
        <f t="shared" si="12"/>
        <v>73.400000000000006</v>
      </c>
      <c r="BA28" s="1832">
        <v>950</v>
      </c>
      <c r="BB28" s="1783">
        <v>828</v>
      </c>
      <c r="BC28" s="1837">
        <f t="shared" si="13"/>
        <v>87.2</v>
      </c>
      <c r="BD28" s="1791">
        <v>830</v>
      </c>
      <c r="BE28" s="1840">
        <f t="shared" si="14"/>
        <v>87.4</v>
      </c>
      <c r="BF28" s="1783">
        <v>847</v>
      </c>
      <c r="BG28" s="1837">
        <f t="shared" si="15"/>
        <v>89.2</v>
      </c>
      <c r="BH28" s="1791">
        <v>2097</v>
      </c>
      <c r="BI28" s="1425">
        <v>2311</v>
      </c>
      <c r="BJ28" s="1848">
        <v>544</v>
      </c>
      <c r="BK28" s="1783">
        <v>681</v>
      </c>
      <c r="BL28" s="1854">
        <f t="shared" si="17"/>
        <v>80.900000000000006</v>
      </c>
      <c r="BM28" s="1791">
        <v>319</v>
      </c>
      <c r="BN28" s="1425">
        <v>208</v>
      </c>
      <c r="BO28" s="1431">
        <f t="shared" si="18"/>
        <v>65.203761755485885</v>
      </c>
      <c r="BP28" s="1764">
        <v>8</v>
      </c>
      <c r="BQ28" s="1432" t="s">
        <v>344</v>
      </c>
    </row>
    <row r="29" spans="1:69" s="1432" customFormat="1" ht="13.5" x14ac:dyDescent="0.25">
      <c r="A29" s="1424">
        <v>95</v>
      </c>
      <c r="B29" s="1758" t="s">
        <v>26</v>
      </c>
      <c r="C29" s="1772">
        <v>1379</v>
      </c>
      <c r="D29" s="1783">
        <v>1331</v>
      </c>
      <c r="E29" s="1787">
        <f t="shared" si="0"/>
        <v>96.5</v>
      </c>
      <c r="F29" s="1797">
        <v>1224</v>
      </c>
      <c r="G29" s="1426">
        <f t="shared" si="0"/>
        <v>88.8</v>
      </c>
      <c r="H29" s="1427">
        <v>72</v>
      </c>
      <c r="I29" s="1426">
        <f t="shared" si="0"/>
        <v>5.2</v>
      </c>
      <c r="J29" s="1427">
        <v>1296</v>
      </c>
      <c r="K29" s="1426">
        <f t="shared" si="1"/>
        <v>94</v>
      </c>
      <c r="L29" s="1425">
        <v>1322</v>
      </c>
      <c r="M29" s="1798">
        <f t="shared" si="2"/>
        <v>95.9</v>
      </c>
      <c r="N29" s="1791">
        <v>1368</v>
      </c>
      <c r="O29" s="1787">
        <f t="shared" si="2"/>
        <v>99.2</v>
      </c>
      <c r="P29" s="1783">
        <v>1322</v>
      </c>
      <c r="Q29" s="1426">
        <f t="shared" si="3"/>
        <v>95.9</v>
      </c>
      <c r="R29" s="1425">
        <v>1340</v>
      </c>
      <c r="S29" s="1426">
        <f t="shared" si="4"/>
        <v>97.2</v>
      </c>
      <c r="T29" s="1425">
        <v>1370</v>
      </c>
      <c r="U29" s="1798">
        <f t="shared" si="19"/>
        <v>99.35</v>
      </c>
      <c r="V29" s="1791">
        <v>1261</v>
      </c>
      <c r="W29" s="1426">
        <f t="shared" si="5"/>
        <v>91.4</v>
      </c>
      <c r="X29" s="1425">
        <v>1285</v>
      </c>
      <c r="Y29" s="1787">
        <f t="shared" si="6"/>
        <v>93.2</v>
      </c>
      <c r="Z29" s="1797">
        <v>1000</v>
      </c>
      <c r="AA29" s="1426">
        <f t="shared" si="20"/>
        <v>96.7</v>
      </c>
      <c r="AB29" s="1428">
        <v>884</v>
      </c>
      <c r="AC29" s="1798">
        <f t="shared" si="21"/>
        <v>85.5</v>
      </c>
      <c r="AD29" s="1791">
        <v>1328</v>
      </c>
      <c r="AE29" s="1426">
        <f t="shared" si="7"/>
        <v>96.3</v>
      </c>
      <c r="AF29" s="1425">
        <v>1357</v>
      </c>
      <c r="AG29" s="1787">
        <f t="shared" si="8"/>
        <v>98.4</v>
      </c>
      <c r="AH29" s="1812">
        <v>1386</v>
      </c>
      <c r="AI29" s="1425">
        <v>1403</v>
      </c>
      <c r="AJ29" s="1798">
        <f t="shared" si="22"/>
        <v>101.2</v>
      </c>
      <c r="AK29" s="1807">
        <v>1410</v>
      </c>
      <c r="AL29" s="1787">
        <f t="shared" si="23"/>
        <v>101.7</v>
      </c>
      <c r="AM29" s="1816">
        <v>1435</v>
      </c>
      <c r="AN29" s="1798">
        <f t="shared" si="9"/>
        <v>103.5</v>
      </c>
      <c r="AO29" s="1791">
        <v>1419</v>
      </c>
      <c r="AP29" s="1426">
        <f t="shared" si="10"/>
        <v>102.4</v>
      </c>
      <c r="AQ29" s="1430">
        <v>5</v>
      </c>
      <c r="AR29" s="1426">
        <f t="shared" si="16"/>
        <v>0.36075036075036077</v>
      </c>
      <c r="AS29" s="1430">
        <v>11</v>
      </c>
      <c r="AT29" s="1821">
        <v>8</v>
      </c>
      <c r="AU29" s="1783">
        <v>1404</v>
      </c>
      <c r="AV29" s="1798">
        <f t="shared" si="24"/>
        <v>101.3</v>
      </c>
      <c r="AW29" s="1791">
        <v>1220</v>
      </c>
      <c r="AX29" s="1787">
        <f t="shared" si="11"/>
        <v>88</v>
      </c>
      <c r="AY29" s="1783">
        <v>1221</v>
      </c>
      <c r="AZ29" s="1798">
        <f t="shared" si="12"/>
        <v>88.1</v>
      </c>
      <c r="BA29" s="1832">
        <v>1673</v>
      </c>
      <c r="BB29" s="1783">
        <v>1336</v>
      </c>
      <c r="BC29" s="1837">
        <f t="shared" si="13"/>
        <v>79.900000000000006</v>
      </c>
      <c r="BD29" s="1791">
        <v>1336</v>
      </c>
      <c r="BE29" s="1840">
        <f t="shared" si="14"/>
        <v>79.900000000000006</v>
      </c>
      <c r="BF29" s="1783">
        <v>1343</v>
      </c>
      <c r="BG29" s="1837">
        <f t="shared" si="15"/>
        <v>80.3</v>
      </c>
      <c r="BH29" s="1791">
        <v>519</v>
      </c>
      <c r="BI29" s="1425">
        <v>1456</v>
      </c>
      <c r="BJ29" s="1848">
        <v>1003</v>
      </c>
      <c r="BK29" s="1783">
        <v>1183</v>
      </c>
      <c r="BL29" s="1854">
        <f t="shared" si="17"/>
        <v>85.8</v>
      </c>
      <c r="BM29" s="1791">
        <v>740</v>
      </c>
      <c r="BN29" s="1425">
        <v>290</v>
      </c>
      <c r="BO29" s="1431">
        <f t="shared" si="18"/>
        <v>39.189189189189186</v>
      </c>
      <c r="BP29" s="1764">
        <v>108</v>
      </c>
      <c r="BQ29" s="1432" t="s">
        <v>344</v>
      </c>
    </row>
    <row r="30" spans="1:69" s="1432" customFormat="1" ht="13.5" x14ac:dyDescent="0.25">
      <c r="A30" s="1424">
        <v>41</v>
      </c>
      <c r="B30" s="1758" t="s">
        <v>27</v>
      </c>
      <c r="C30" s="1772">
        <v>20109</v>
      </c>
      <c r="D30" s="1783">
        <v>19127</v>
      </c>
      <c r="E30" s="1787">
        <f t="shared" si="0"/>
        <v>95.1</v>
      </c>
      <c r="F30" s="1797">
        <v>18258</v>
      </c>
      <c r="G30" s="1426">
        <f t="shared" si="0"/>
        <v>90.8</v>
      </c>
      <c r="H30" s="1427">
        <v>872</v>
      </c>
      <c r="I30" s="1426">
        <f t="shared" si="0"/>
        <v>4.3</v>
      </c>
      <c r="J30" s="1427">
        <v>19130</v>
      </c>
      <c r="K30" s="1426">
        <f t="shared" si="1"/>
        <v>95.1</v>
      </c>
      <c r="L30" s="1425">
        <v>18631</v>
      </c>
      <c r="M30" s="1798">
        <f t="shared" si="2"/>
        <v>92.7</v>
      </c>
      <c r="N30" s="1791">
        <v>18544</v>
      </c>
      <c r="O30" s="1787">
        <f t="shared" si="2"/>
        <v>92.2</v>
      </c>
      <c r="P30" s="1783">
        <v>18627</v>
      </c>
      <c r="Q30" s="1426">
        <f t="shared" si="3"/>
        <v>92.6</v>
      </c>
      <c r="R30" s="1425">
        <v>18699</v>
      </c>
      <c r="S30" s="1426">
        <f t="shared" si="4"/>
        <v>93</v>
      </c>
      <c r="T30" s="1425">
        <v>18541</v>
      </c>
      <c r="U30" s="1798">
        <f t="shared" si="19"/>
        <v>92.2</v>
      </c>
      <c r="V30" s="1791">
        <v>18406</v>
      </c>
      <c r="W30" s="1426">
        <f t="shared" si="5"/>
        <v>91.5</v>
      </c>
      <c r="X30" s="1425">
        <v>18514</v>
      </c>
      <c r="Y30" s="1787">
        <f t="shared" si="6"/>
        <v>92.1</v>
      </c>
      <c r="Z30" s="1797">
        <v>16158</v>
      </c>
      <c r="AA30" s="1426">
        <f t="shared" si="20"/>
        <v>107.1</v>
      </c>
      <c r="AB30" s="1428">
        <v>13220</v>
      </c>
      <c r="AC30" s="1798">
        <f t="shared" si="21"/>
        <v>87.7</v>
      </c>
      <c r="AD30" s="1791">
        <v>18614</v>
      </c>
      <c r="AE30" s="1426">
        <f t="shared" si="7"/>
        <v>92.6</v>
      </c>
      <c r="AF30" s="1425">
        <v>18676</v>
      </c>
      <c r="AG30" s="1787">
        <f t="shared" si="8"/>
        <v>92.9</v>
      </c>
      <c r="AH30" s="1812">
        <v>20502</v>
      </c>
      <c r="AI30" s="1425">
        <v>19559</v>
      </c>
      <c r="AJ30" s="1798">
        <f t="shared" si="22"/>
        <v>95.4</v>
      </c>
      <c r="AK30" s="1807">
        <v>19414</v>
      </c>
      <c r="AL30" s="1787">
        <f t="shared" si="23"/>
        <v>94.7</v>
      </c>
      <c r="AM30" s="1816">
        <v>18310</v>
      </c>
      <c r="AN30" s="1798">
        <f t="shared" si="9"/>
        <v>89.3</v>
      </c>
      <c r="AO30" s="1791">
        <v>19414</v>
      </c>
      <c r="AP30" s="1426">
        <f t="shared" si="10"/>
        <v>94.7</v>
      </c>
      <c r="AQ30" s="1430">
        <v>65</v>
      </c>
      <c r="AR30" s="1426">
        <f t="shared" si="16"/>
        <v>0.31704223978148477</v>
      </c>
      <c r="AS30" s="1430">
        <v>90</v>
      </c>
      <c r="AT30" s="1821">
        <v>119</v>
      </c>
      <c r="AU30" s="1783">
        <v>19790</v>
      </c>
      <c r="AV30" s="1798">
        <f t="shared" si="24"/>
        <v>96.5</v>
      </c>
      <c r="AW30" s="1791">
        <v>18483</v>
      </c>
      <c r="AX30" s="1787">
        <f t="shared" si="11"/>
        <v>90.2</v>
      </c>
      <c r="AY30" s="1783">
        <v>18478</v>
      </c>
      <c r="AZ30" s="1798">
        <f t="shared" si="12"/>
        <v>90.1</v>
      </c>
      <c r="BA30" s="1832">
        <v>20876</v>
      </c>
      <c r="BB30" s="1783">
        <v>19904</v>
      </c>
      <c r="BC30" s="1837">
        <f t="shared" si="13"/>
        <v>95.3</v>
      </c>
      <c r="BD30" s="1791">
        <v>19907</v>
      </c>
      <c r="BE30" s="1840">
        <f t="shared" si="14"/>
        <v>95.4</v>
      </c>
      <c r="BF30" s="1783">
        <v>19935</v>
      </c>
      <c r="BG30" s="1837">
        <f t="shared" si="15"/>
        <v>95.5</v>
      </c>
      <c r="BH30" s="1791">
        <v>4633</v>
      </c>
      <c r="BI30" s="1425">
        <v>34205</v>
      </c>
      <c r="BJ30" s="1848">
        <v>14210</v>
      </c>
      <c r="BK30" s="1783">
        <v>16948</v>
      </c>
      <c r="BL30" s="1854">
        <f t="shared" si="17"/>
        <v>84.3</v>
      </c>
      <c r="BM30" s="1791">
        <v>9964</v>
      </c>
      <c r="BN30" s="1425">
        <v>2908</v>
      </c>
      <c r="BO30" s="1431">
        <f t="shared" si="18"/>
        <v>29.18506623845845</v>
      </c>
      <c r="BP30" s="1764">
        <v>798</v>
      </c>
      <c r="BQ30" s="1432" t="s">
        <v>345</v>
      </c>
    </row>
    <row r="31" spans="1:69" s="1432" customFormat="1" ht="13.5" x14ac:dyDescent="0.25">
      <c r="A31" s="1424">
        <v>44</v>
      </c>
      <c r="B31" s="1758" t="s">
        <v>482</v>
      </c>
      <c r="C31" s="1772">
        <v>21078</v>
      </c>
      <c r="D31" s="1783">
        <v>21362</v>
      </c>
      <c r="E31" s="1787">
        <f t="shared" si="0"/>
        <v>101.3</v>
      </c>
      <c r="F31" s="1797">
        <v>17601</v>
      </c>
      <c r="G31" s="1426">
        <f t="shared" si="0"/>
        <v>83.5</v>
      </c>
      <c r="H31" s="1427">
        <v>2126</v>
      </c>
      <c r="I31" s="1426">
        <f t="shared" si="0"/>
        <v>10.1</v>
      </c>
      <c r="J31" s="1427">
        <v>19727</v>
      </c>
      <c r="K31" s="1426">
        <f t="shared" si="1"/>
        <v>93.6</v>
      </c>
      <c r="L31" s="1425">
        <v>21130</v>
      </c>
      <c r="M31" s="1798">
        <f t="shared" si="2"/>
        <v>100.2</v>
      </c>
      <c r="N31" s="1791">
        <v>19098</v>
      </c>
      <c r="O31" s="1787">
        <f t="shared" si="2"/>
        <v>90.6</v>
      </c>
      <c r="P31" s="1783">
        <v>21134</v>
      </c>
      <c r="Q31" s="1426">
        <f t="shared" si="3"/>
        <v>100.3</v>
      </c>
      <c r="R31" s="1425">
        <v>19525</v>
      </c>
      <c r="S31" s="1426">
        <f t="shared" si="4"/>
        <v>92.6</v>
      </c>
      <c r="T31" s="1425">
        <v>19096</v>
      </c>
      <c r="U31" s="1798">
        <f t="shared" si="19"/>
        <v>90.6</v>
      </c>
      <c r="V31" s="1791">
        <v>18444</v>
      </c>
      <c r="W31" s="1426">
        <f t="shared" si="5"/>
        <v>87.5</v>
      </c>
      <c r="X31" s="1425">
        <v>17678</v>
      </c>
      <c r="Y31" s="1787">
        <f t="shared" si="6"/>
        <v>83.9</v>
      </c>
      <c r="Z31" s="1797">
        <v>18662</v>
      </c>
      <c r="AA31" s="1426">
        <f t="shared" si="20"/>
        <v>118.1</v>
      </c>
      <c r="AB31" s="1428">
        <v>12509</v>
      </c>
      <c r="AC31" s="1798">
        <f t="shared" si="21"/>
        <v>79.099999999999994</v>
      </c>
      <c r="AD31" s="1791">
        <v>21873</v>
      </c>
      <c r="AE31" s="1426">
        <f t="shared" si="7"/>
        <v>103.8</v>
      </c>
      <c r="AF31" s="1425">
        <v>19797</v>
      </c>
      <c r="AG31" s="1787">
        <f t="shared" si="8"/>
        <v>93.9</v>
      </c>
      <c r="AH31" s="1812">
        <v>21574</v>
      </c>
      <c r="AI31" s="1425">
        <v>20981</v>
      </c>
      <c r="AJ31" s="1798">
        <f t="shared" si="22"/>
        <v>97.3</v>
      </c>
      <c r="AK31" s="1807">
        <v>20701</v>
      </c>
      <c r="AL31" s="1787">
        <f t="shared" si="23"/>
        <v>96</v>
      </c>
      <c r="AM31" s="1816">
        <v>14063</v>
      </c>
      <c r="AN31" s="1798">
        <f t="shared" si="9"/>
        <v>65.2</v>
      </c>
      <c r="AO31" s="1791">
        <v>20194</v>
      </c>
      <c r="AP31" s="1426">
        <f t="shared" si="10"/>
        <v>93.6</v>
      </c>
      <c r="AQ31" s="1430">
        <v>1127</v>
      </c>
      <c r="AR31" s="1426">
        <f t="shared" si="16"/>
        <v>5.2238805970149249</v>
      </c>
      <c r="AS31" s="1430">
        <v>1099</v>
      </c>
      <c r="AT31" s="1821">
        <v>2784</v>
      </c>
      <c r="AU31" s="1783">
        <v>21052</v>
      </c>
      <c r="AV31" s="1798">
        <f t="shared" si="24"/>
        <v>97.6</v>
      </c>
      <c r="AW31" s="1791">
        <v>14174</v>
      </c>
      <c r="AX31" s="1787">
        <f t="shared" si="11"/>
        <v>65.7</v>
      </c>
      <c r="AY31" s="1783">
        <v>14177</v>
      </c>
      <c r="AZ31" s="1798">
        <f t="shared" si="12"/>
        <v>65.7</v>
      </c>
      <c r="BA31" s="1832">
        <v>22023</v>
      </c>
      <c r="BB31" s="1783">
        <v>17215</v>
      </c>
      <c r="BC31" s="1837">
        <f t="shared" si="13"/>
        <v>78.2</v>
      </c>
      <c r="BD31" s="1791">
        <v>17229</v>
      </c>
      <c r="BE31" s="1840">
        <f t="shared" si="14"/>
        <v>78.2</v>
      </c>
      <c r="BF31" s="1783">
        <v>17221</v>
      </c>
      <c r="BG31" s="1837">
        <f t="shared" si="15"/>
        <v>78.2</v>
      </c>
      <c r="BH31" s="1791">
        <v>3844</v>
      </c>
      <c r="BI31" s="1425">
        <v>11092</v>
      </c>
      <c r="BJ31" s="1848">
        <v>14483</v>
      </c>
      <c r="BK31" s="1783">
        <v>14547</v>
      </c>
      <c r="BL31" s="1854">
        <f t="shared" si="17"/>
        <v>69</v>
      </c>
      <c r="BM31" s="1791">
        <v>8009</v>
      </c>
      <c r="BN31" s="1425">
        <v>2353</v>
      </c>
      <c r="BO31" s="1431">
        <f t="shared" si="18"/>
        <v>29.379448120864026</v>
      </c>
      <c r="BP31" s="1764">
        <v>368</v>
      </c>
      <c r="BQ31" s="1432" t="s">
        <v>347</v>
      </c>
    </row>
    <row r="32" spans="1:69" s="1432" customFormat="1" ht="13.5" x14ac:dyDescent="0.25">
      <c r="A32" s="1424">
        <v>47</v>
      </c>
      <c r="B32" s="1758" t="s">
        <v>28</v>
      </c>
      <c r="C32" s="1772">
        <v>17436</v>
      </c>
      <c r="D32" s="1783">
        <v>13561</v>
      </c>
      <c r="E32" s="1787">
        <f t="shared" si="0"/>
        <v>77.8</v>
      </c>
      <c r="F32" s="1797">
        <v>12833</v>
      </c>
      <c r="G32" s="1426">
        <f t="shared" si="0"/>
        <v>73.599999999999994</v>
      </c>
      <c r="H32" s="1427">
        <v>302</v>
      </c>
      <c r="I32" s="1426">
        <f t="shared" si="0"/>
        <v>1.7</v>
      </c>
      <c r="J32" s="1427">
        <v>13135</v>
      </c>
      <c r="K32" s="1426">
        <f t="shared" si="1"/>
        <v>75.3</v>
      </c>
      <c r="L32" s="1425">
        <v>16313</v>
      </c>
      <c r="M32" s="1798">
        <f t="shared" si="2"/>
        <v>93.6</v>
      </c>
      <c r="N32" s="1791">
        <v>16302</v>
      </c>
      <c r="O32" s="1787">
        <f t="shared" si="2"/>
        <v>93.5</v>
      </c>
      <c r="P32" s="1783">
        <v>16315</v>
      </c>
      <c r="Q32" s="1426">
        <f t="shared" si="3"/>
        <v>93.6</v>
      </c>
      <c r="R32" s="1425">
        <v>16360</v>
      </c>
      <c r="S32" s="1426">
        <f t="shared" si="4"/>
        <v>93.8</v>
      </c>
      <c r="T32" s="1425">
        <v>16293</v>
      </c>
      <c r="U32" s="1798">
        <f t="shared" si="19"/>
        <v>93.44</v>
      </c>
      <c r="V32" s="1791">
        <v>15692</v>
      </c>
      <c r="W32" s="1426">
        <f t="shared" si="5"/>
        <v>90</v>
      </c>
      <c r="X32" s="1425">
        <v>15861</v>
      </c>
      <c r="Y32" s="1787">
        <f t="shared" si="6"/>
        <v>91</v>
      </c>
      <c r="Z32" s="1797">
        <v>14206</v>
      </c>
      <c r="AA32" s="1426">
        <f t="shared" si="20"/>
        <v>108.6</v>
      </c>
      <c r="AB32" s="1428">
        <v>10411</v>
      </c>
      <c r="AC32" s="1798">
        <f t="shared" si="21"/>
        <v>79.599999999999994</v>
      </c>
      <c r="AD32" s="1791">
        <v>16370</v>
      </c>
      <c r="AE32" s="1426">
        <f t="shared" si="7"/>
        <v>93.9</v>
      </c>
      <c r="AF32" s="1425">
        <v>16317</v>
      </c>
      <c r="AG32" s="1787">
        <f t="shared" si="8"/>
        <v>93.6</v>
      </c>
      <c r="AH32" s="1812">
        <v>17950</v>
      </c>
      <c r="AI32" s="1425">
        <v>17056</v>
      </c>
      <c r="AJ32" s="1798">
        <f t="shared" si="22"/>
        <v>95</v>
      </c>
      <c r="AK32" s="1807">
        <v>17095</v>
      </c>
      <c r="AL32" s="1787">
        <f t="shared" si="23"/>
        <v>95.2</v>
      </c>
      <c r="AM32" s="1816">
        <v>15466</v>
      </c>
      <c r="AN32" s="1798">
        <f t="shared" si="9"/>
        <v>86.2</v>
      </c>
      <c r="AO32" s="1791">
        <v>16870</v>
      </c>
      <c r="AP32" s="1426">
        <f t="shared" si="10"/>
        <v>94</v>
      </c>
      <c r="AQ32" s="1430">
        <v>346</v>
      </c>
      <c r="AR32" s="1426">
        <f t="shared" si="16"/>
        <v>1.9275766016713092</v>
      </c>
      <c r="AS32" s="1430">
        <v>387</v>
      </c>
      <c r="AT32" s="1821">
        <v>577</v>
      </c>
      <c r="AU32" s="1783">
        <v>17227</v>
      </c>
      <c r="AV32" s="1798">
        <f t="shared" si="24"/>
        <v>96</v>
      </c>
      <c r="AW32" s="1791">
        <v>15387</v>
      </c>
      <c r="AX32" s="1787">
        <f t="shared" si="11"/>
        <v>85.7</v>
      </c>
      <c r="AY32" s="1783">
        <v>15357</v>
      </c>
      <c r="AZ32" s="1798">
        <f t="shared" si="12"/>
        <v>85.6</v>
      </c>
      <c r="BA32" s="1832">
        <v>18959</v>
      </c>
      <c r="BB32" s="1783">
        <v>16423</v>
      </c>
      <c r="BC32" s="1837">
        <f t="shared" si="13"/>
        <v>86.6</v>
      </c>
      <c r="BD32" s="1791">
        <v>16442</v>
      </c>
      <c r="BE32" s="1840">
        <f t="shared" si="14"/>
        <v>86.7</v>
      </c>
      <c r="BF32" s="1783">
        <v>16442</v>
      </c>
      <c r="BG32" s="1837">
        <f t="shared" si="15"/>
        <v>86.7</v>
      </c>
      <c r="BH32" s="1791">
        <v>5667</v>
      </c>
      <c r="BI32" s="1425">
        <v>12825</v>
      </c>
      <c r="BJ32" s="1848">
        <v>12613</v>
      </c>
      <c r="BK32" s="1783">
        <v>13323</v>
      </c>
      <c r="BL32" s="1854">
        <f t="shared" si="17"/>
        <v>76.400000000000006</v>
      </c>
      <c r="BM32" s="1791">
        <v>7950</v>
      </c>
      <c r="BN32" s="1425">
        <v>1855</v>
      </c>
      <c r="BO32" s="1431">
        <f t="shared" si="18"/>
        <v>23.333333333333332</v>
      </c>
      <c r="BP32" s="1764">
        <v>253</v>
      </c>
      <c r="BQ32" s="1432" t="s">
        <v>347</v>
      </c>
    </row>
    <row r="33" spans="1:69" s="1432" customFormat="1" ht="13.5" x14ac:dyDescent="0.25">
      <c r="A33" s="1424">
        <v>47001</v>
      </c>
      <c r="B33" s="1760" t="s">
        <v>127</v>
      </c>
      <c r="C33" s="1772">
        <v>9091</v>
      </c>
      <c r="D33" s="1783">
        <v>8574</v>
      </c>
      <c r="E33" s="1787">
        <f t="shared" si="0"/>
        <v>94.3</v>
      </c>
      <c r="F33" s="1797">
        <v>7400</v>
      </c>
      <c r="G33" s="1426">
        <f t="shared" si="0"/>
        <v>81.400000000000006</v>
      </c>
      <c r="H33" s="1427">
        <v>792</v>
      </c>
      <c r="I33" s="1426">
        <f t="shared" si="0"/>
        <v>8.6999999999999993</v>
      </c>
      <c r="J33" s="1427">
        <v>8192</v>
      </c>
      <c r="K33" s="1426">
        <f t="shared" si="1"/>
        <v>90.1</v>
      </c>
      <c r="L33" s="1425">
        <v>8466</v>
      </c>
      <c r="M33" s="1798">
        <f t="shared" si="2"/>
        <v>93.1</v>
      </c>
      <c r="N33" s="1791">
        <v>7941</v>
      </c>
      <c r="O33" s="1787">
        <f t="shared" si="2"/>
        <v>87.4</v>
      </c>
      <c r="P33" s="1783">
        <v>8394</v>
      </c>
      <c r="Q33" s="1426">
        <f t="shared" si="3"/>
        <v>92.3</v>
      </c>
      <c r="R33" s="1425">
        <v>8247</v>
      </c>
      <c r="S33" s="1426">
        <f t="shared" si="4"/>
        <v>90.7</v>
      </c>
      <c r="T33" s="1425">
        <v>7956</v>
      </c>
      <c r="U33" s="1798">
        <f t="shared" si="19"/>
        <v>87.52</v>
      </c>
      <c r="V33" s="1791">
        <v>7970</v>
      </c>
      <c r="W33" s="1426">
        <f t="shared" si="5"/>
        <v>87.7</v>
      </c>
      <c r="X33" s="1425">
        <v>7746</v>
      </c>
      <c r="Y33" s="1787">
        <f t="shared" si="6"/>
        <v>85.2</v>
      </c>
      <c r="Z33" s="1797">
        <v>6992</v>
      </c>
      <c r="AA33" s="1426">
        <f t="shared" si="20"/>
        <v>102.5</v>
      </c>
      <c r="AB33" s="1428">
        <v>4710</v>
      </c>
      <c r="AC33" s="1798">
        <f t="shared" si="21"/>
        <v>69.099999999999994</v>
      </c>
      <c r="AD33" s="1791">
        <v>8240</v>
      </c>
      <c r="AE33" s="1426">
        <f t="shared" si="7"/>
        <v>90.6</v>
      </c>
      <c r="AF33" s="1425">
        <v>8103</v>
      </c>
      <c r="AG33" s="1787">
        <f t="shared" si="8"/>
        <v>89.1</v>
      </c>
      <c r="AH33" s="1812">
        <v>9130</v>
      </c>
      <c r="AI33" s="1425">
        <v>8400</v>
      </c>
      <c r="AJ33" s="1798">
        <f t="shared" si="22"/>
        <v>92</v>
      </c>
      <c r="AK33" s="1807">
        <v>8275</v>
      </c>
      <c r="AL33" s="1787">
        <f t="shared" si="23"/>
        <v>90.6</v>
      </c>
      <c r="AM33" s="1816">
        <v>7181</v>
      </c>
      <c r="AN33" s="1798">
        <f t="shared" si="9"/>
        <v>78.7</v>
      </c>
      <c r="AO33" s="1791">
        <v>7823</v>
      </c>
      <c r="AP33" s="1426">
        <f t="shared" si="10"/>
        <v>85.7</v>
      </c>
      <c r="AQ33" s="1430">
        <v>159</v>
      </c>
      <c r="AR33" s="1426">
        <f t="shared" si="16"/>
        <v>1.7415115005476451</v>
      </c>
      <c r="AS33" s="1430">
        <v>167</v>
      </c>
      <c r="AT33" s="1821">
        <v>290</v>
      </c>
      <c r="AU33" s="1783">
        <v>8460</v>
      </c>
      <c r="AV33" s="1798">
        <f t="shared" si="24"/>
        <v>92.7</v>
      </c>
      <c r="AW33" s="1791">
        <v>7179</v>
      </c>
      <c r="AX33" s="1787">
        <f t="shared" si="11"/>
        <v>78.599999999999994</v>
      </c>
      <c r="AY33" s="1783">
        <v>7389</v>
      </c>
      <c r="AZ33" s="1798">
        <f t="shared" si="12"/>
        <v>80.900000000000006</v>
      </c>
      <c r="BA33" s="1832">
        <v>9458</v>
      </c>
      <c r="BB33" s="1783">
        <v>7473</v>
      </c>
      <c r="BC33" s="1837">
        <f>ROUND(BB33/$BA33*100,1)</f>
        <v>79</v>
      </c>
      <c r="BD33" s="1791">
        <v>7651</v>
      </c>
      <c r="BE33" s="1840">
        <f>ROUND(BD33/$BA33*100,1)</f>
        <v>80.900000000000006</v>
      </c>
      <c r="BF33" s="1783">
        <v>7462</v>
      </c>
      <c r="BG33" s="1837">
        <f>ROUND(BF33/$BA33*100,1)</f>
        <v>78.900000000000006</v>
      </c>
      <c r="BH33" s="1791">
        <v>5867</v>
      </c>
      <c r="BI33" s="1425">
        <v>11621</v>
      </c>
      <c r="BJ33" s="1848">
        <v>6434</v>
      </c>
      <c r="BK33" s="1783">
        <v>6602</v>
      </c>
      <c r="BL33" s="1854">
        <f t="shared" si="17"/>
        <v>72.599999999999994</v>
      </c>
      <c r="BM33" s="1791">
        <v>4490</v>
      </c>
      <c r="BN33" s="1425">
        <v>856</v>
      </c>
      <c r="BO33" s="1431">
        <f t="shared" si="18"/>
        <v>19.064587973273941</v>
      </c>
      <c r="BP33" s="1764">
        <v>171</v>
      </c>
      <c r="BQ33" s="1432" t="s">
        <v>347</v>
      </c>
    </row>
    <row r="34" spans="1:69" s="1432" customFormat="1" ht="13.5" x14ac:dyDescent="0.25">
      <c r="A34" s="1424">
        <v>50</v>
      </c>
      <c r="B34" s="1759" t="s">
        <v>29</v>
      </c>
      <c r="C34" s="1772">
        <v>16000</v>
      </c>
      <c r="D34" s="1783">
        <v>15334</v>
      </c>
      <c r="E34" s="1787">
        <f t="shared" si="0"/>
        <v>95.8</v>
      </c>
      <c r="F34" s="1797">
        <v>15333</v>
      </c>
      <c r="G34" s="1426">
        <f t="shared" si="0"/>
        <v>95.8</v>
      </c>
      <c r="H34" s="1427">
        <v>43</v>
      </c>
      <c r="I34" s="1426">
        <f t="shared" si="0"/>
        <v>0.3</v>
      </c>
      <c r="J34" s="1427">
        <v>15376</v>
      </c>
      <c r="K34" s="1426">
        <f t="shared" si="1"/>
        <v>96.1</v>
      </c>
      <c r="L34" s="1425">
        <v>14829</v>
      </c>
      <c r="M34" s="1798">
        <f t="shared" si="2"/>
        <v>92.7</v>
      </c>
      <c r="N34" s="1791">
        <v>14453</v>
      </c>
      <c r="O34" s="1787">
        <f t="shared" si="2"/>
        <v>90.3</v>
      </c>
      <c r="P34" s="1783">
        <v>14849</v>
      </c>
      <c r="Q34" s="1426">
        <f t="shared" si="3"/>
        <v>92.8</v>
      </c>
      <c r="R34" s="1425">
        <v>14819</v>
      </c>
      <c r="S34" s="1426">
        <f t="shared" si="4"/>
        <v>92.6</v>
      </c>
      <c r="T34" s="1425">
        <v>14425</v>
      </c>
      <c r="U34" s="1798">
        <f t="shared" si="19"/>
        <v>90.16</v>
      </c>
      <c r="V34" s="1791">
        <v>14364</v>
      </c>
      <c r="W34" s="1426">
        <f t="shared" si="5"/>
        <v>89.8</v>
      </c>
      <c r="X34" s="1425">
        <v>14473</v>
      </c>
      <c r="Y34" s="1787">
        <f t="shared" si="6"/>
        <v>90.5</v>
      </c>
      <c r="Z34" s="1797">
        <v>11777</v>
      </c>
      <c r="AA34" s="1426">
        <f t="shared" si="20"/>
        <v>98.1</v>
      </c>
      <c r="AB34" s="1428">
        <v>8358</v>
      </c>
      <c r="AC34" s="1798">
        <f t="shared" si="21"/>
        <v>69.7</v>
      </c>
      <c r="AD34" s="1791">
        <v>15512</v>
      </c>
      <c r="AE34" s="1426">
        <f t="shared" si="7"/>
        <v>97</v>
      </c>
      <c r="AF34" s="1425">
        <v>15739</v>
      </c>
      <c r="AG34" s="1787">
        <f t="shared" si="8"/>
        <v>98.4</v>
      </c>
      <c r="AH34" s="1812">
        <v>16307</v>
      </c>
      <c r="AI34" s="1425">
        <v>15395</v>
      </c>
      <c r="AJ34" s="1798">
        <f t="shared" si="22"/>
        <v>94.4</v>
      </c>
      <c r="AK34" s="1807">
        <v>15392</v>
      </c>
      <c r="AL34" s="1787">
        <f t="shared" si="23"/>
        <v>94.4</v>
      </c>
      <c r="AM34" s="1816">
        <v>15823</v>
      </c>
      <c r="AN34" s="1798">
        <f t="shared" si="9"/>
        <v>97</v>
      </c>
      <c r="AO34" s="1791">
        <v>16054</v>
      </c>
      <c r="AP34" s="1426">
        <f t="shared" si="10"/>
        <v>98.4</v>
      </c>
      <c r="AQ34" s="1430">
        <v>121</v>
      </c>
      <c r="AR34" s="1426">
        <f t="shared" si="16"/>
        <v>0.74201263261176176</v>
      </c>
      <c r="AS34" s="1430">
        <v>271</v>
      </c>
      <c r="AT34" s="1821">
        <v>208</v>
      </c>
      <c r="AU34" s="1783">
        <v>15760</v>
      </c>
      <c r="AV34" s="1798">
        <f t="shared" si="24"/>
        <v>96.6</v>
      </c>
      <c r="AW34" s="1791">
        <v>14171</v>
      </c>
      <c r="AX34" s="1787">
        <f t="shared" si="11"/>
        <v>86.9</v>
      </c>
      <c r="AY34" s="1783">
        <v>14171</v>
      </c>
      <c r="AZ34" s="1798">
        <f t="shared" si="12"/>
        <v>86.9</v>
      </c>
      <c r="BA34" s="1832">
        <v>17196</v>
      </c>
      <c r="BB34" s="1783">
        <v>14894</v>
      </c>
      <c r="BC34" s="1837">
        <f t="shared" si="13"/>
        <v>86.6</v>
      </c>
      <c r="BD34" s="1791">
        <v>14786</v>
      </c>
      <c r="BE34" s="1840">
        <f t="shared" si="14"/>
        <v>86</v>
      </c>
      <c r="BF34" s="1783">
        <v>14901</v>
      </c>
      <c r="BG34" s="1837">
        <f t="shared" si="15"/>
        <v>86.7</v>
      </c>
      <c r="BH34" s="1791">
        <v>12566</v>
      </c>
      <c r="BI34" s="1425">
        <v>23107</v>
      </c>
      <c r="BJ34" s="1848">
        <v>9477</v>
      </c>
      <c r="BK34" s="1783">
        <v>12268</v>
      </c>
      <c r="BL34" s="1854">
        <f t="shared" si="17"/>
        <v>76.7</v>
      </c>
      <c r="BM34" s="1791">
        <v>7554</v>
      </c>
      <c r="BN34" s="1425">
        <v>2505</v>
      </c>
      <c r="BO34" s="1431">
        <f t="shared" si="18"/>
        <v>33.161239078633834</v>
      </c>
      <c r="BP34" s="1764">
        <v>351</v>
      </c>
      <c r="BQ34" s="1432" t="s">
        <v>346</v>
      </c>
    </row>
    <row r="35" spans="1:69" s="1432" customFormat="1" ht="13.5" x14ac:dyDescent="0.25">
      <c r="A35" s="1424">
        <v>52</v>
      </c>
      <c r="B35" s="1758" t="s">
        <v>30</v>
      </c>
      <c r="C35" s="1772">
        <v>21309</v>
      </c>
      <c r="D35" s="1783">
        <v>18534</v>
      </c>
      <c r="E35" s="1787">
        <f t="shared" si="0"/>
        <v>87</v>
      </c>
      <c r="F35" s="1797">
        <v>17149</v>
      </c>
      <c r="G35" s="1426">
        <f t="shared" si="0"/>
        <v>80.5</v>
      </c>
      <c r="H35" s="1427">
        <v>933</v>
      </c>
      <c r="I35" s="1426">
        <f t="shared" si="0"/>
        <v>4.4000000000000004</v>
      </c>
      <c r="J35" s="1427">
        <v>18082</v>
      </c>
      <c r="K35" s="1426">
        <f t="shared" si="1"/>
        <v>84.9</v>
      </c>
      <c r="L35" s="1425">
        <v>18614</v>
      </c>
      <c r="M35" s="1798">
        <f t="shared" si="2"/>
        <v>87.4</v>
      </c>
      <c r="N35" s="1791">
        <v>18259</v>
      </c>
      <c r="O35" s="1787">
        <f t="shared" si="2"/>
        <v>85.7</v>
      </c>
      <c r="P35" s="1783">
        <v>18617</v>
      </c>
      <c r="Q35" s="1426">
        <f t="shared" si="3"/>
        <v>87.4</v>
      </c>
      <c r="R35" s="1425">
        <v>18486</v>
      </c>
      <c r="S35" s="1426">
        <f t="shared" si="4"/>
        <v>86.8</v>
      </c>
      <c r="T35" s="1425">
        <v>18253</v>
      </c>
      <c r="U35" s="1798">
        <f t="shared" si="19"/>
        <v>85.66</v>
      </c>
      <c r="V35" s="1791">
        <v>18039</v>
      </c>
      <c r="W35" s="1426">
        <f t="shared" si="5"/>
        <v>84.7</v>
      </c>
      <c r="X35" s="1425">
        <v>18072</v>
      </c>
      <c r="Y35" s="1787">
        <f t="shared" si="6"/>
        <v>84.8</v>
      </c>
      <c r="Z35" s="1797">
        <v>15030</v>
      </c>
      <c r="AA35" s="1426">
        <f t="shared" si="20"/>
        <v>94</v>
      </c>
      <c r="AB35" s="1428">
        <v>13041</v>
      </c>
      <c r="AC35" s="1798">
        <f t="shared" si="21"/>
        <v>81.599999999999994</v>
      </c>
      <c r="AD35" s="1791">
        <v>18726</v>
      </c>
      <c r="AE35" s="1426">
        <f t="shared" si="7"/>
        <v>87.9</v>
      </c>
      <c r="AF35" s="1425">
        <v>18518</v>
      </c>
      <c r="AG35" s="1787">
        <f t="shared" si="8"/>
        <v>86.9</v>
      </c>
      <c r="AH35" s="1812">
        <v>21730</v>
      </c>
      <c r="AI35" s="1425">
        <v>19585</v>
      </c>
      <c r="AJ35" s="1798">
        <f t="shared" si="22"/>
        <v>90.1</v>
      </c>
      <c r="AK35" s="1807">
        <v>19691</v>
      </c>
      <c r="AL35" s="1787">
        <f t="shared" si="23"/>
        <v>90.6</v>
      </c>
      <c r="AM35" s="1816">
        <v>18065</v>
      </c>
      <c r="AN35" s="1798">
        <f t="shared" si="9"/>
        <v>83.1</v>
      </c>
      <c r="AO35" s="1791">
        <v>19386</v>
      </c>
      <c r="AP35" s="1426">
        <f t="shared" si="10"/>
        <v>89.2</v>
      </c>
      <c r="AQ35" s="1430">
        <v>269</v>
      </c>
      <c r="AR35" s="1426">
        <f t="shared" si="16"/>
        <v>1.237919926369075</v>
      </c>
      <c r="AS35" s="1430">
        <v>183</v>
      </c>
      <c r="AT35" s="1821">
        <v>499</v>
      </c>
      <c r="AU35" s="1783">
        <v>19748</v>
      </c>
      <c r="AV35" s="1798">
        <f t="shared" si="24"/>
        <v>90.9</v>
      </c>
      <c r="AW35" s="1791">
        <v>18156</v>
      </c>
      <c r="AX35" s="1787">
        <f t="shared" si="11"/>
        <v>83.6</v>
      </c>
      <c r="AY35" s="1783">
        <v>18162</v>
      </c>
      <c r="AZ35" s="1798">
        <f t="shared" si="12"/>
        <v>83.6</v>
      </c>
      <c r="BA35" s="1832">
        <v>23264</v>
      </c>
      <c r="BB35" s="1783">
        <v>19227</v>
      </c>
      <c r="BC35" s="1837">
        <f t="shared" si="13"/>
        <v>82.6</v>
      </c>
      <c r="BD35" s="1791">
        <v>19209</v>
      </c>
      <c r="BE35" s="1840">
        <f t="shared" si="14"/>
        <v>82.6</v>
      </c>
      <c r="BF35" s="1783">
        <v>19236</v>
      </c>
      <c r="BG35" s="1837">
        <f t="shared" si="15"/>
        <v>82.7</v>
      </c>
      <c r="BH35" s="1791">
        <v>8033</v>
      </c>
      <c r="BI35" s="1425">
        <v>72349</v>
      </c>
      <c r="BJ35" s="1848">
        <v>15043</v>
      </c>
      <c r="BK35" s="1783">
        <v>15901</v>
      </c>
      <c r="BL35" s="1854">
        <f t="shared" si="17"/>
        <v>74.599999999999994</v>
      </c>
      <c r="BM35" s="1791">
        <v>12326</v>
      </c>
      <c r="BN35" s="1425">
        <v>7023</v>
      </c>
      <c r="BO35" s="1431">
        <f t="shared" si="18"/>
        <v>56.977121531721565</v>
      </c>
      <c r="BP35" s="1764">
        <v>4070</v>
      </c>
      <c r="BQ35" s="1432" t="s">
        <v>352</v>
      </c>
    </row>
    <row r="36" spans="1:69" s="1432" customFormat="1" ht="13.5" x14ac:dyDescent="0.25">
      <c r="A36" s="1424">
        <v>54</v>
      </c>
      <c r="B36" s="1761" t="s">
        <v>483</v>
      </c>
      <c r="C36" s="1772">
        <v>23758</v>
      </c>
      <c r="D36" s="1783">
        <v>20619</v>
      </c>
      <c r="E36" s="1787">
        <f t="shared" si="0"/>
        <v>86.8</v>
      </c>
      <c r="F36" s="1797">
        <v>20132</v>
      </c>
      <c r="G36" s="1426">
        <f t="shared" si="0"/>
        <v>84.7</v>
      </c>
      <c r="H36" s="1427">
        <v>179</v>
      </c>
      <c r="I36" s="1426">
        <f t="shared" si="0"/>
        <v>0.8</v>
      </c>
      <c r="J36" s="1427">
        <v>20311</v>
      </c>
      <c r="K36" s="1426">
        <f t="shared" si="1"/>
        <v>85.5</v>
      </c>
      <c r="L36" s="1425">
        <v>22131</v>
      </c>
      <c r="M36" s="1798">
        <f t="shared" si="2"/>
        <v>93.2</v>
      </c>
      <c r="N36" s="1791">
        <v>22414</v>
      </c>
      <c r="O36" s="1787">
        <f t="shared" si="2"/>
        <v>94.3</v>
      </c>
      <c r="P36" s="1783">
        <v>22162</v>
      </c>
      <c r="Q36" s="1426">
        <f t="shared" si="3"/>
        <v>93.3</v>
      </c>
      <c r="R36" s="1425">
        <v>21924</v>
      </c>
      <c r="S36" s="1426">
        <f t="shared" si="4"/>
        <v>92.3</v>
      </c>
      <c r="T36" s="1425">
        <v>22065</v>
      </c>
      <c r="U36" s="1798">
        <f t="shared" si="19"/>
        <v>92.87</v>
      </c>
      <c r="V36" s="1791">
        <v>21426</v>
      </c>
      <c r="W36" s="1426">
        <f t="shared" si="5"/>
        <v>90.2</v>
      </c>
      <c r="X36" s="1425">
        <v>20965</v>
      </c>
      <c r="Y36" s="1787">
        <f t="shared" si="6"/>
        <v>88.2</v>
      </c>
      <c r="Z36" s="1797">
        <v>21995</v>
      </c>
      <c r="AA36" s="1426">
        <f t="shared" si="20"/>
        <v>123.4</v>
      </c>
      <c r="AB36" s="1428">
        <v>15901</v>
      </c>
      <c r="AC36" s="1798">
        <f t="shared" si="21"/>
        <v>89.2</v>
      </c>
      <c r="AD36" s="1791">
        <v>23224</v>
      </c>
      <c r="AE36" s="1426">
        <f t="shared" si="7"/>
        <v>97.8</v>
      </c>
      <c r="AF36" s="1425">
        <v>22032</v>
      </c>
      <c r="AG36" s="1787">
        <f t="shared" si="8"/>
        <v>92.7</v>
      </c>
      <c r="AH36" s="1812">
        <v>24173</v>
      </c>
      <c r="AI36" s="1425">
        <v>22408</v>
      </c>
      <c r="AJ36" s="1798">
        <f t="shared" si="22"/>
        <v>92.7</v>
      </c>
      <c r="AK36" s="1807">
        <v>19435</v>
      </c>
      <c r="AL36" s="1787">
        <f t="shared" si="23"/>
        <v>80.400000000000006</v>
      </c>
      <c r="AM36" s="1816">
        <v>24573</v>
      </c>
      <c r="AN36" s="1798">
        <f t="shared" si="9"/>
        <v>101.7</v>
      </c>
      <c r="AO36" s="1791">
        <v>21682</v>
      </c>
      <c r="AP36" s="1426">
        <f t="shared" si="10"/>
        <v>89.7</v>
      </c>
      <c r="AQ36" s="1430">
        <v>798</v>
      </c>
      <c r="AR36" s="1426">
        <f t="shared" si="16"/>
        <v>3.3012038224465314</v>
      </c>
      <c r="AS36" s="1430">
        <v>734</v>
      </c>
      <c r="AT36" s="1821">
        <v>540</v>
      </c>
      <c r="AU36" s="1783">
        <v>23439</v>
      </c>
      <c r="AV36" s="1798">
        <f t="shared" si="24"/>
        <v>97</v>
      </c>
      <c r="AW36" s="1791">
        <v>18663</v>
      </c>
      <c r="AX36" s="1787">
        <f t="shared" si="11"/>
        <v>77.2</v>
      </c>
      <c r="AY36" s="1783">
        <v>18701</v>
      </c>
      <c r="AZ36" s="1798">
        <f t="shared" si="12"/>
        <v>77.400000000000006</v>
      </c>
      <c r="BA36" s="1832">
        <v>24111</v>
      </c>
      <c r="BB36" s="1783">
        <v>20319</v>
      </c>
      <c r="BC36" s="1837">
        <f t="shared" si="13"/>
        <v>84.3</v>
      </c>
      <c r="BD36" s="1791">
        <v>20381</v>
      </c>
      <c r="BE36" s="1840">
        <f t="shared" si="14"/>
        <v>84.5</v>
      </c>
      <c r="BF36" s="1783">
        <v>20241</v>
      </c>
      <c r="BG36" s="1837">
        <f t="shared" si="15"/>
        <v>83.9</v>
      </c>
      <c r="BH36" s="1791">
        <v>8868</v>
      </c>
      <c r="BI36" s="1425">
        <v>40207</v>
      </c>
      <c r="BJ36" s="1848">
        <v>18482</v>
      </c>
      <c r="BK36" s="1783">
        <v>18385</v>
      </c>
      <c r="BL36" s="1854">
        <f t="shared" si="17"/>
        <v>77.400000000000006</v>
      </c>
      <c r="BM36" s="1791">
        <v>11287</v>
      </c>
      <c r="BN36" s="1425">
        <v>2522</v>
      </c>
      <c r="BO36" s="1431">
        <f t="shared" si="18"/>
        <v>22.344289891025074</v>
      </c>
      <c r="BP36" s="1764">
        <v>407</v>
      </c>
      <c r="BQ36" s="1432" t="s">
        <v>345</v>
      </c>
    </row>
    <row r="37" spans="1:69" s="1432" customFormat="1" ht="13.5" x14ac:dyDescent="0.25">
      <c r="A37" s="1424">
        <v>86</v>
      </c>
      <c r="B37" s="1758" t="s">
        <v>31</v>
      </c>
      <c r="C37" s="1772">
        <v>4936</v>
      </c>
      <c r="D37" s="1783">
        <v>4142</v>
      </c>
      <c r="E37" s="1787">
        <f t="shared" si="0"/>
        <v>83.9</v>
      </c>
      <c r="F37" s="1797">
        <v>3837</v>
      </c>
      <c r="G37" s="1426">
        <f t="shared" si="0"/>
        <v>77.7</v>
      </c>
      <c r="H37" s="1427">
        <v>258</v>
      </c>
      <c r="I37" s="1426">
        <f t="shared" si="0"/>
        <v>5.2</v>
      </c>
      <c r="J37" s="1427">
        <v>4095</v>
      </c>
      <c r="K37" s="1426">
        <f t="shared" si="1"/>
        <v>83</v>
      </c>
      <c r="L37" s="1425">
        <v>4709</v>
      </c>
      <c r="M37" s="1798">
        <f t="shared" si="2"/>
        <v>95.4</v>
      </c>
      <c r="N37" s="1791">
        <v>4700</v>
      </c>
      <c r="O37" s="1787">
        <f t="shared" si="2"/>
        <v>95.2</v>
      </c>
      <c r="P37" s="1783">
        <v>4712</v>
      </c>
      <c r="Q37" s="1426">
        <f t="shared" si="3"/>
        <v>95.5</v>
      </c>
      <c r="R37" s="1425">
        <v>4736</v>
      </c>
      <c r="S37" s="1426">
        <f t="shared" si="4"/>
        <v>95.9</v>
      </c>
      <c r="T37" s="1425">
        <v>4699</v>
      </c>
      <c r="U37" s="1798">
        <f t="shared" si="19"/>
        <v>95.2</v>
      </c>
      <c r="V37" s="1791">
        <v>4574</v>
      </c>
      <c r="W37" s="1426">
        <f t="shared" si="5"/>
        <v>92.7</v>
      </c>
      <c r="X37" s="1425">
        <v>4612</v>
      </c>
      <c r="Y37" s="1787">
        <f t="shared" si="6"/>
        <v>93.4</v>
      </c>
      <c r="Z37" s="1797">
        <v>3152</v>
      </c>
      <c r="AA37" s="1426">
        <f t="shared" si="20"/>
        <v>85.1</v>
      </c>
      <c r="AB37" s="1428">
        <v>2778</v>
      </c>
      <c r="AC37" s="1798">
        <f t="shared" si="21"/>
        <v>75</v>
      </c>
      <c r="AD37" s="1791">
        <v>4725</v>
      </c>
      <c r="AE37" s="1426">
        <f t="shared" si="7"/>
        <v>95.7</v>
      </c>
      <c r="AF37" s="1425">
        <v>4735</v>
      </c>
      <c r="AG37" s="1787">
        <f t="shared" si="8"/>
        <v>95.9</v>
      </c>
      <c r="AH37" s="1812">
        <v>5039</v>
      </c>
      <c r="AI37" s="1425">
        <v>4906</v>
      </c>
      <c r="AJ37" s="1798">
        <f t="shared" si="22"/>
        <v>97.4</v>
      </c>
      <c r="AK37" s="1807">
        <v>4788</v>
      </c>
      <c r="AL37" s="1787">
        <f t="shared" si="23"/>
        <v>95</v>
      </c>
      <c r="AM37" s="1816">
        <v>5144</v>
      </c>
      <c r="AN37" s="1798">
        <f t="shared" si="9"/>
        <v>102.1</v>
      </c>
      <c r="AO37" s="1791">
        <v>4850</v>
      </c>
      <c r="AP37" s="1426">
        <f t="shared" si="10"/>
        <v>96.2</v>
      </c>
      <c r="AQ37" s="1430">
        <v>36</v>
      </c>
      <c r="AR37" s="1426">
        <f t="shared" si="16"/>
        <v>0.71442746576701721</v>
      </c>
      <c r="AS37" s="1430">
        <v>37</v>
      </c>
      <c r="AT37" s="1821">
        <v>116</v>
      </c>
      <c r="AU37" s="1783">
        <v>4953</v>
      </c>
      <c r="AV37" s="1798">
        <f t="shared" si="24"/>
        <v>98.3</v>
      </c>
      <c r="AW37" s="1791">
        <v>4469</v>
      </c>
      <c r="AX37" s="1787">
        <f t="shared" si="11"/>
        <v>88.7</v>
      </c>
      <c r="AY37" s="1783">
        <v>4488</v>
      </c>
      <c r="AZ37" s="1798">
        <f t="shared" si="12"/>
        <v>89.1</v>
      </c>
      <c r="BA37" s="1832">
        <v>5554</v>
      </c>
      <c r="BB37" s="1783">
        <v>4891</v>
      </c>
      <c r="BC37" s="1837">
        <f t="shared" si="13"/>
        <v>88.1</v>
      </c>
      <c r="BD37" s="1791">
        <v>4911</v>
      </c>
      <c r="BE37" s="1840">
        <f t="shared" si="14"/>
        <v>88.4</v>
      </c>
      <c r="BF37" s="1783">
        <v>4945</v>
      </c>
      <c r="BG37" s="1837">
        <f t="shared" si="15"/>
        <v>89</v>
      </c>
      <c r="BH37" s="1791">
        <v>1314</v>
      </c>
      <c r="BI37" s="1425">
        <v>9326</v>
      </c>
      <c r="BJ37" s="1848">
        <v>3438</v>
      </c>
      <c r="BK37" s="1783">
        <v>3967</v>
      </c>
      <c r="BL37" s="1854">
        <f t="shared" si="17"/>
        <v>80.400000000000006</v>
      </c>
      <c r="BM37" s="1791">
        <v>2820</v>
      </c>
      <c r="BN37" s="1425">
        <v>1313</v>
      </c>
      <c r="BO37" s="1431">
        <f t="shared" si="18"/>
        <v>46.560283687943262</v>
      </c>
      <c r="BP37" s="1764">
        <v>401</v>
      </c>
      <c r="BQ37" s="1432" t="s">
        <v>344</v>
      </c>
    </row>
    <row r="38" spans="1:69" s="1432" customFormat="1" ht="13.5" x14ac:dyDescent="0.25">
      <c r="A38" s="1424">
        <v>63</v>
      </c>
      <c r="B38" s="1759" t="s">
        <v>32</v>
      </c>
      <c r="C38" s="1772">
        <v>5929</v>
      </c>
      <c r="D38" s="1783">
        <v>5792</v>
      </c>
      <c r="E38" s="1787">
        <f t="shared" si="0"/>
        <v>97.7</v>
      </c>
      <c r="F38" s="1797">
        <v>4853</v>
      </c>
      <c r="G38" s="1426">
        <f t="shared" si="0"/>
        <v>81.900000000000006</v>
      </c>
      <c r="H38" s="1427">
        <v>895</v>
      </c>
      <c r="I38" s="1426">
        <f t="shared" si="0"/>
        <v>15.1</v>
      </c>
      <c r="J38" s="1427">
        <v>5748</v>
      </c>
      <c r="K38" s="1426">
        <f t="shared" si="1"/>
        <v>96.9</v>
      </c>
      <c r="L38" s="1425">
        <v>5570</v>
      </c>
      <c r="M38" s="1798">
        <f t="shared" si="2"/>
        <v>93.9</v>
      </c>
      <c r="N38" s="1791">
        <v>5699</v>
      </c>
      <c r="O38" s="1787">
        <f t="shared" si="2"/>
        <v>96.1</v>
      </c>
      <c r="P38" s="1783">
        <v>5571</v>
      </c>
      <c r="Q38" s="1426">
        <f t="shared" si="3"/>
        <v>94</v>
      </c>
      <c r="R38" s="1425">
        <v>5641</v>
      </c>
      <c r="S38" s="1426">
        <f t="shared" si="4"/>
        <v>95.1</v>
      </c>
      <c r="T38" s="1425">
        <v>5698</v>
      </c>
      <c r="U38" s="1798">
        <f t="shared" si="19"/>
        <v>96.1</v>
      </c>
      <c r="V38" s="1791">
        <v>5517</v>
      </c>
      <c r="W38" s="1426">
        <f t="shared" si="5"/>
        <v>93.1</v>
      </c>
      <c r="X38" s="1425">
        <v>5549</v>
      </c>
      <c r="Y38" s="1787">
        <f t="shared" si="6"/>
        <v>93.6</v>
      </c>
      <c r="Z38" s="1797">
        <v>5727</v>
      </c>
      <c r="AA38" s="1426">
        <f t="shared" si="20"/>
        <v>128.80000000000001</v>
      </c>
      <c r="AB38" s="1428">
        <v>4573</v>
      </c>
      <c r="AC38" s="1798">
        <f t="shared" si="21"/>
        <v>102.8</v>
      </c>
      <c r="AD38" s="1791">
        <v>5610</v>
      </c>
      <c r="AE38" s="1426">
        <f t="shared" si="7"/>
        <v>94.6</v>
      </c>
      <c r="AF38" s="1425">
        <v>5655</v>
      </c>
      <c r="AG38" s="1787">
        <f t="shared" si="8"/>
        <v>95.4</v>
      </c>
      <c r="AH38" s="1812">
        <v>5894</v>
      </c>
      <c r="AI38" s="1425">
        <v>5891</v>
      </c>
      <c r="AJ38" s="1798">
        <f t="shared" si="22"/>
        <v>99.9</v>
      </c>
      <c r="AK38" s="1807">
        <v>5941</v>
      </c>
      <c r="AL38" s="1787">
        <f t="shared" si="23"/>
        <v>100.8</v>
      </c>
      <c r="AM38" s="1816">
        <v>5578</v>
      </c>
      <c r="AN38" s="1798">
        <f t="shared" si="9"/>
        <v>94.6</v>
      </c>
      <c r="AO38" s="1791">
        <v>5838</v>
      </c>
      <c r="AP38" s="1426">
        <f t="shared" si="10"/>
        <v>99</v>
      </c>
      <c r="AQ38" s="1430">
        <v>63</v>
      </c>
      <c r="AR38" s="1426">
        <f t="shared" si="16"/>
        <v>1.0688836104513064</v>
      </c>
      <c r="AS38" s="1430">
        <v>51</v>
      </c>
      <c r="AT38" s="1821">
        <v>85</v>
      </c>
      <c r="AU38" s="1783">
        <v>6245</v>
      </c>
      <c r="AV38" s="1798">
        <f t="shared" si="24"/>
        <v>106</v>
      </c>
      <c r="AW38" s="1791">
        <v>5620</v>
      </c>
      <c r="AX38" s="1787">
        <f t="shared" si="11"/>
        <v>95.4</v>
      </c>
      <c r="AY38" s="1783">
        <v>5628</v>
      </c>
      <c r="AZ38" s="1798">
        <f t="shared" si="12"/>
        <v>95.5</v>
      </c>
      <c r="BA38" s="1832">
        <v>6259</v>
      </c>
      <c r="BB38" s="1783">
        <v>5970</v>
      </c>
      <c r="BC38" s="1837">
        <f t="shared" si="13"/>
        <v>95.4</v>
      </c>
      <c r="BD38" s="1791">
        <v>5956</v>
      </c>
      <c r="BE38" s="1840">
        <f t="shared" si="14"/>
        <v>95.2</v>
      </c>
      <c r="BF38" s="1783">
        <v>5982</v>
      </c>
      <c r="BG38" s="1837">
        <f t="shared" si="15"/>
        <v>95.6</v>
      </c>
      <c r="BH38" s="1791">
        <v>5443</v>
      </c>
      <c r="BI38" s="1425">
        <v>26440</v>
      </c>
      <c r="BJ38" s="1848">
        <v>5162</v>
      </c>
      <c r="BK38" s="1783">
        <v>5045</v>
      </c>
      <c r="BL38" s="1854">
        <f t="shared" si="17"/>
        <v>85.1</v>
      </c>
      <c r="BM38" s="1791">
        <v>3791</v>
      </c>
      <c r="BN38" s="1425">
        <v>1277</v>
      </c>
      <c r="BO38" s="1431">
        <f t="shared" si="18"/>
        <v>33.685043524136113</v>
      </c>
      <c r="BP38" s="1764">
        <v>369</v>
      </c>
      <c r="BQ38" s="1432" t="s">
        <v>345</v>
      </c>
    </row>
    <row r="39" spans="1:69" s="1432" customFormat="1" ht="13.5" x14ac:dyDescent="0.25">
      <c r="A39" s="1424">
        <v>66</v>
      </c>
      <c r="B39" s="1759" t="s">
        <v>33</v>
      </c>
      <c r="C39" s="1772">
        <v>10840</v>
      </c>
      <c r="D39" s="1783">
        <v>10772</v>
      </c>
      <c r="E39" s="1787">
        <f t="shared" si="0"/>
        <v>99.4</v>
      </c>
      <c r="F39" s="1797">
        <v>10161</v>
      </c>
      <c r="G39" s="1426">
        <f t="shared" si="0"/>
        <v>93.7</v>
      </c>
      <c r="H39" s="1427">
        <v>424</v>
      </c>
      <c r="I39" s="1426">
        <f t="shared" si="0"/>
        <v>3.9</v>
      </c>
      <c r="J39" s="1427">
        <v>10585</v>
      </c>
      <c r="K39" s="1426">
        <f t="shared" si="1"/>
        <v>97.6</v>
      </c>
      <c r="L39" s="1425">
        <v>10206</v>
      </c>
      <c r="M39" s="1798">
        <f t="shared" si="2"/>
        <v>94.2</v>
      </c>
      <c r="N39" s="1791">
        <v>10254</v>
      </c>
      <c r="O39" s="1787">
        <f t="shared" si="2"/>
        <v>94.6</v>
      </c>
      <c r="P39" s="1783">
        <v>10209</v>
      </c>
      <c r="Q39" s="1426">
        <f t="shared" si="3"/>
        <v>94.2</v>
      </c>
      <c r="R39" s="1425">
        <v>10169</v>
      </c>
      <c r="S39" s="1426">
        <f t="shared" si="4"/>
        <v>93.8</v>
      </c>
      <c r="T39" s="1425">
        <v>10244</v>
      </c>
      <c r="U39" s="1798">
        <f>ROUND(T39/$C39*100,2)</f>
        <v>94.5</v>
      </c>
      <c r="V39" s="1791">
        <v>9987</v>
      </c>
      <c r="W39" s="1426">
        <f t="shared" si="5"/>
        <v>92.1</v>
      </c>
      <c r="X39" s="1425">
        <v>9998</v>
      </c>
      <c r="Y39" s="1787">
        <f t="shared" si="6"/>
        <v>92.2</v>
      </c>
      <c r="Z39" s="1797">
        <v>8568</v>
      </c>
      <c r="AA39" s="1426">
        <f t="shared" si="20"/>
        <v>105.4</v>
      </c>
      <c r="AB39" s="1428">
        <v>6847</v>
      </c>
      <c r="AC39" s="1798">
        <f t="shared" si="21"/>
        <v>84.2</v>
      </c>
      <c r="AD39" s="1791">
        <v>10331</v>
      </c>
      <c r="AE39" s="1426">
        <f t="shared" si="7"/>
        <v>95.3</v>
      </c>
      <c r="AF39" s="1425">
        <v>10361</v>
      </c>
      <c r="AG39" s="1787">
        <f t="shared" si="8"/>
        <v>95.6</v>
      </c>
      <c r="AH39" s="1812">
        <v>11014</v>
      </c>
      <c r="AI39" s="1425">
        <v>10662</v>
      </c>
      <c r="AJ39" s="1798">
        <f t="shared" si="22"/>
        <v>96.8</v>
      </c>
      <c r="AK39" s="1807">
        <v>10742</v>
      </c>
      <c r="AL39" s="1787">
        <f t="shared" si="23"/>
        <v>97.5</v>
      </c>
      <c r="AM39" s="1816">
        <v>9978</v>
      </c>
      <c r="AN39" s="1798">
        <f t="shared" si="9"/>
        <v>90.6</v>
      </c>
      <c r="AO39" s="1791">
        <v>10551</v>
      </c>
      <c r="AP39" s="1426">
        <f t="shared" si="10"/>
        <v>95.8</v>
      </c>
      <c r="AQ39" s="1430">
        <v>165</v>
      </c>
      <c r="AR39" s="1426">
        <f t="shared" si="16"/>
        <v>1.4980933357544943</v>
      </c>
      <c r="AS39" s="1430">
        <v>185</v>
      </c>
      <c r="AT39" s="1821">
        <v>274</v>
      </c>
      <c r="AU39" s="1783">
        <v>10824</v>
      </c>
      <c r="AV39" s="1798">
        <f t="shared" si="24"/>
        <v>98.3</v>
      </c>
      <c r="AW39" s="1791">
        <v>10429</v>
      </c>
      <c r="AX39" s="1787">
        <f t="shared" si="11"/>
        <v>94.7</v>
      </c>
      <c r="AY39" s="1783">
        <v>10446</v>
      </c>
      <c r="AZ39" s="1798">
        <f t="shared" si="12"/>
        <v>94.8</v>
      </c>
      <c r="BA39" s="1832">
        <v>12348</v>
      </c>
      <c r="BB39" s="1783">
        <v>11095</v>
      </c>
      <c r="BC39" s="1837">
        <f t="shared" si="13"/>
        <v>89.9</v>
      </c>
      <c r="BD39" s="1791">
        <v>10987</v>
      </c>
      <c r="BE39" s="1840">
        <f t="shared" si="14"/>
        <v>89</v>
      </c>
      <c r="BF39" s="1783">
        <v>11038</v>
      </c>
      <c r="BG39" s="1837">
        <f t="shared" si="15"/>
        <v>89.4</v>
      </c>
      <c r="BH39" s="1791">
        <v>5543</v>
      </c>
      <c r="BI39" s="1425">
        <v>43677</v>
      </c>
      <c r="BJ39" s="1848">
        <v>6824</v>
      </c>
      <c r="BK39" s="1783">
        <v>9103</v>
      </c>
      <c r="BL39" s="1854">
        <f t="shared" si="17"/>
        <v>84</v>
      </c>
      <c r="BM39" s="1791">
        <v>6910</v>
      </c>
      <c r="BN39" s="1425">
        <v>1801</v>
      </c>
      <c r="BO39" s="1431">
        <f t="shared" si="18"/>
        <v>26.063675832127352</v>
      </c>
      <c r="BP39" s="1764">
        <v>429</v>
      </c>
      <c r="BQ39" s="1432" t="s">
        <v>345</v>
      </c>
    </row>
    <row r="40" spans="1:69" s="1432" customFormat="1" ht="13.5" x14ac:dyDescent="0.25">
      <c r="A40" s="1424">
        <v>88</v>
      </c>
      <c r="B40" s="1759" t="s">
        <v>484</v>
      </c>
      <c r="C40" s="1772">
        <v>895</v>
      </c>
      <c r="D40" s="1783">
        <v>743</v>
      </c>
      <c r="E40" s="1787">
        <f t="shared" si="0"/>
        <v>83</v>
      </c>
      <c r="F40" s="1797">
        <v>213</v>
      </c>
      <c r="G40" s="1426">
        <f t="shared" si="0"/>
        <v>23.8</v>
      </c>
      <c r="H40" s="1427">
        <v>526</v>
      </c>
      <c r="I40" s="1426">
        <f t="shared" si="0"/>
        <v>58.8</v>
      </c>
      <c r="J40" s="1427">
        <v>739</v>
      </c>
      <c r="K40" s="1426">
        <f t="shared" si="1"/>
        <v>82.6</v>
      </c>
      <c r="L40" s="1425">
        <v>789</v>
      </c>
      <c r="M40" s="1798">
        <f t="shared" si="2"/>
        <v>88.2</v>
      </c>
      <c r="N40" s="1791">
        <v>815</v>
      </c>
      <c r="O40" s="1787">
        <f t="shared" si="2"/>
        <v>91.1</v>
      </c>
      <c r="P40" s="1783">
        <v>785</v>
      </c>
      <c r="Q40" s="1426">
        <f t="shared" si="3"/>
        <v>87.7</v>
      </c>
      <c r="R40" s="1425">
        <v>799</v>
      </c>
      <c r="S40" s="1426">
        <f t="shared" si="4"/>
        <v>89.3</v>
      </c>
      <c r="T40" s="1425">
        <v>824</v>
      </c>
      <c r="U40" s="1798">
        <f t="shared" si="19"/>
        <v>92.07</v>
      </c>
      <c r="V40" s="1791">
        <v>761</v>
      </c>
      <c r="W40" s="1426">
        <f t="shared" si="5"/>
        <v>85</v>
      </c>
      <c r="X40" s="1425">
        <v>779</v>
      </c>
      <c r="Y40" s="1787">
        <f t="shared" si="6"/>
        <v>87</v>
      </c>
      <c r="Z40" s="1797">
        <v>684</v>
      </c>
      <c r="AA40" s="1426">
        <f t="shared" si="20"/>
        <v>101.9</v>
      </c>
      <c r="AB40" s="1428">
        <v>587</v>
      </c>
      <c r="AC40" s="1798">
        <f t="shared" si="21"/>
        <v>87.4</v>
      </c>
      <c r="AD40" s="1791">
        <v>790</v>
      </c>
      <c r="AE40" s="1426">
        <f t="shared" si="7"/>
        <v>88.3</v>
      </c>
      <c r="AF40" s="1425">
        <v>796</v>
      </c>
      <c r="AG40" s="1787">
        <f t="shared" si="8"/>
        <v>88.9</v>
      </c>
      <c r="AH40" s="1812">
        <v>916</v>
      </c>
      <c r="AI40" s="1425">
        <v>820</v>
      </c>
      <c r="AJ40" s="1798">
        <f t="shared" si="22"/>
        <v>89.5</v>
      </c>
      <c r="AK40" s="1807">
        <v>811</v>
      </c>
      <c r="AL40" s="1787">
        <f t="shared" si="23"/>
        <v>88.5</v>
      </c>
      <c r="AM40" s="1816">
        <v>752</v>
      </c>
      <c r="AN40" s="1798">
        <f t="shared" si="9"/>
        <v>82.1</v>
      </c>
      <c r="AO40" s="1791">
        <v>818</v>
      </c>
      <c r="AP40" s="1426">
        <f t="shared" si="10"/>
        <v>89.3</v>
      </c>
      <c r="AQ40" s="1430">
        <v>0</v>
      </c>
      <c r="AR40" s="1426">
        <f t="shared" si="16"/>
        <v>0</v>
      </c>
      <c r="AS40" s="1430">
        <v>1</v>
      </c>
      <c r="AT40" s="1821">
        <v>3</v>
      </c>
      <c r="AU40" s="1783">
        <v>821</v>
      </c>
      <c r="AV40" s="1798">
        <f t="shared" si="24"/>
        <v>89.6</v>
      </c>
      <c r="AW40" s="1791">
        <v>773</v>
      </c>
      <c r="AX40" s="1787">
        <f t="shared" si="11"/>
        <v>84.4</v>
      </c>
      <c r="AY40" s="1783">
        <v>776</v>
      </c>
      <c r="AZ40" s="1798">
        <f t="shared" si="12"/>
        <v>84.7</v>
      </c>
      <c r="BA40" s="1832">
        <v>926</v>
      </c>
      <c r="BB40" s="1783">
        <v>825</v>
      </c>
      <c r="BC40" s="1837">
        <f t="shared" si="13"/>
        <v>89.1</v>
      </c>
      <c r="BD40" s="1791">
        <v>828</v>
      </c>
      <c r="BE40" s="1840">
        <f t="shared" si="14"/>
        <v>89.4</v>
      </c>
      <c r="BF40" s="1783">
        <v>829</v>
      </c>
      <c r="BG40" s="1837">
        <f t="shared" si="15"/>
        <v>89.5</v>
      </c>
      <c r="BH40" s="1791">
        <v>1798</v>
      </c>
      <c r="BI40" s="1425">
        <v>2054</v>
      </c>
      <c r="BJ40" s="1848">
        <v>697</v>
      </c>
      <c r="BK40" s="1783">
        <v>688</v>
      </c>
      <c r="BL40" s="1854">
        <f t="shared" si="17"/>
        <v>76.900000000000006</v>
      </c>
      <c r="BM40" s="1791">
        <v>440</v>
      </c>
      <c r="BN40" s="1425">
        <v>81</v>
      </c>
      <c r="BO40" s="1431">
        <f t="shared" si="18"/>
        <v>18.409090909090907</v>
      </c>
      <c r="BP40" s="1764">
        <v>8</v>
      </c>
      <c r="BQ40" s="1432" t="s">
        <v>347</v>
      </c>
    </row>
    <row r="41" spans="1:69" s="1432" customFormat="1" ht="13.5" x14ac:dyDescent="0.25">
      <c r="A41" s="1424">
        <v>68</v>
      </c>
      <c r="B41" s="1759" t="s">
        <v>35</v>
      </c>
      <c r="C41" s="1772">
        <v>32581</v>
      </c>
      <c r="D41" s="1783">
        <v>28657</v>
      </c>
      <c r="E41" s="1787">
        <f t="shared" si="0"/>
        <v>88</v>
      </c>
      <c r="F41" s="1797">
        <v>28602</v>
      </c>
      <c r="G41" s="1426">
        <f t="shared" si="0"/>
        <v>87.8</v>
      </c>
      <c r="H41" s="1427">
        <v>109</v>
      </c>
      <c r="I41" s="1426">
        <f t="shared" si="0"/>
        <v>0.3</v>
      </c>
      <c r="J41" s="1427">
        <v>28711</v>
      </c>
      <c r="K41" s="1426">
        <f t="shared" si="1"/>
        <v>88.1</v>
      </c>
      <c r="L41" s="1425">
        <v>28702</v>
      </c>
      <c r="M41" s="1798">
        <f t="shared" si="2"/>
        <v>88.1</v>
      </c>
      <c r="N41" s="1791">
        <v>28717</v>
      </c>
      <c r="O41" s="1787">
        <f t="shared" si="2"/>
        <v>88.1</v>
      </c>
      <c r="P41" s="1783">
        <v>28794</v>
      </c>
      <c r="Q41" s="1426">
        <f t="shared" si="3"/>
        <v>88.4</v>
      </c>
      <c r="R41" s="1425">
        <v>28749</v>
      </c>
      <c r="S41" s="1426">
        <f t="shared" si="4"/>
        <v>88.2</v>
      </c>
      <c r="T41" s="1425">
        <v>28753</v>
      </c>
      <c r="U41" s="1798">
        <f t="shared" si="19"/>
        <v>88.25</v>
      </c>
      <c r="V41" s="1791">
        <v>28410</v>
      </c>
      <c r="W41" s="1426">
        <f t="shared" si="5"/>
        <v>87.2</v>
      </c>
      <c r="X41" s="1425">
        <v>28436</v>
      </c>
      <c r="Y41" s="1787">
        <f t="shared" si="6"/>
        <v>87.3</v>
      </c>
      <c r="Z41" s="1797">
        <v>27870</v>
      </c>
      <c r="AA41" s="1426">
        <f t="shared" si="20"/>
        <v>114.1</v>
      </c>
      <c r="AB41" s="1428">
        <v>22475</v>
      </c>
      <c r="AC41" s="1798">
        <f t="shared" si="21"/>
        <v>92</v>
      </c>
      <c r="AD41" s="1791">
        <v>28811</v>
      </c>
      <c r="AE41" s="1426">
        <f t="shared" si="7"/>
        <v>88.4</v>
      </c>
      <c r="AF41" s="1425">
        <v>28889</v>
      </c>
      <c r="AG41" s="1787">
        <f t="shared" si="8"/>
        <v>88.7</v>
      </c>
      <c r="AH41" s="1812">
        <v>32919</v>
      </c>
      <c r="AI41" s="1425">
        <v>29716</v>
      </c>
      <c r="AJ41" s="1798">
        <f t="shared" si="22"/>
        <v>90.3</v>
      </c>
      <c r="AK41" s="1807">
        <v>29652</v>
      </c>
      <c r="AL41" s="1787">
        <f t="shared" si="23"/>
        <v>90.1</v>
      </c>
      <c r="AM41" s="1816">
        <v>27513</v>
      </c>
      <c r="AN41" s="1798">
        <f t="shared" si="9"/>
        <v>83.6</v>
      </c>
      <c r="AO41" s="1791">
        <v>29606</v>
      </c>
      <c r="AP41" s="1426">
        <f t="shared" si="10"/>
        <v>89.9</v>
      </c>
      <c r="AQ41" s="1430">
        <v>231</v>
      </c>
      <c r="AR41" s="1426">
        <f t="shared" si="16"/>
        <v>0.70172240955071541</v>
      </c>
      <c r="AS41" s="1430">
        <v>268</v>
      </c>
      <c r="AT41" s="1821">
        <v>449</v>
      </c>
      <c r="AU41" s="1783">
        <v>30090</v>
      </c>
      <c r="AV41" s="1798">
        <f t="shared" si="24"/>
        <v>91.4</v>
      </c>
      <c r="AW41" s="1791">
        <v>27280</v>
      </c>
      <c r="AX41" s="1787">
        <f t="shared" si="11"/>
        <v>82.9</v>
      </c>
      <c r="AY41" s="1783">
        <v>27476</v>
      </c>
      <c r="AZ41" s="1798">
        <f t="shared" si="12"/>
        <v>83.5</v>
      </c>
      <c r="BA41" s="1832">
        <v>33449</v>
      </c>
      <c r="BB41" s="1783">
        <v>28233</v>
      </c>
      <c r="BC41" s="1837">
        <f t="shared" si="13"/>
        <v>84.4</v>
      </c>
      <c r="BD41" s="1791">
        <v>28322</v>
      </c>
      <c r="BE41" s="1840">
        <f t="shared" si="14"/>
        <v>84.7</v>
      </c>
      <c r="BF41" s="1783">
        <v>28130</v>
      </c>
      <c r="BG41" s="1837">
        <f t="shared" si="15"/>
        <v>84.1</v>
      </c>
      <c r="BH41" s="1791">
        <v>24805</v>
      </c>
      <c r="BI41" s="1425">
        <v>79100</v>
      </c>
      <c r="BJ41" s="1848">
        <v>24207</v>
      </c>
      <c r="BK41" s="1783">
        <v>24608</v>
      </c>
      <c r="BL41" s="1854">
        <f t="shared" si="17"/>
        <v>75.5</v>
      </c>
      <c r="BM41" s="1791">
        <v>15211</v>
      </c>
      <c r="BN41" s="1425">
        <v>3857</v>
      </c>
      <c r="BO41" s="1431">
        <f t="shared" si="18"/>
        <v>25.356649792913021</v>
      </c>
      <c r="BP41" s="1764">
        <v>877</v>
      </c>
      <c r="BQ41" s="1432" t="s">
        <v>345</v>
      </c>
    </row>
    <row r="42" spans="1:69" s="1432" customFormat="1" ht="13.5" x14ac:dyDescent="0.25">
      <c r="A42" s="1424">
        <v>70</v>
      </c>
      <c r="B42" s="1759" t="s">
        <v>36</v>
      </c>
      <c r="C42" s="1772">
        <v>14817</v>
      </c>
      <c r="D42" s="1783">
        <v>14776</v>
      </c>
      <c r="E42" s="1787">
        <f t="shared" si="0"/>
        <v>99.7</v>
      </c>
      <c r="F42" s="1797">
        <v>9801</v>
      </c>
      <c r="G42" s="1426">
        <f t="shared" si="0"/>
        <v>66.099999999999994</v>
      </c>
      <c r="H42" s="1427">
        <v>4936</v>
      </c>
      <c r="I42" s="1426">
        <f t="shared" si="0"/>
        <v>33.299999999999997</v>
      </c>
      <c r="J42" s="1427">
        <v>14737</v>
      </c>
      <c r="K42" s="1426">
        <f t="shared" si="1"/>
        <v>99.5</v>
      </c>
      <c r="L42" s="1425">
        <v>15132</v>
      </c>
      <c r="M42" s="1798">
        <f t="shared" si="2"/>
        <v>102.1</v>
      </c>
      <c r="N42" s="1791">
        <v>15111</v>
      </c>
      <c r="O42" s="1787">
        <f t="shared" si="2"/>
        <v>102</v>
      </c>
      <c r="P42" s="1783">
        <v>15137</v>
      </c>
      <c r="Q42" s="1426">
        <f t="shared" si="3"/>
        <v>102.2</v>
      </c>
      <c r="R42" s="1425">
        <v>15038</v>
      </c>
      <c r="S42" s="1426">
        <f t="shared" si="4"/>
        <v>101.5</v>
      </c>
      <c r="T42" s="1425">
        <v>15122</v>
      </c>
      <c r="U42" s="1798">
        <f t="shared" si="19"/>
        <v>102.06</v>
      </c>
      <c r="V42" s="1791">
        <v>14563</v>
      </c>
      <c r="W42" s="1426">
        <f t="shared" si="5"/>
        <v>98.3</v>
      </c>
      <c r="X42" s="1425">
        <v>14458</v>
      </c>
      <c r="Y42" s="1787">
        <f t="shared" si="6"/>
        <v>97.6</v>
      </c>
      <c r="Z42" s="1797">
        <v>11609</v>
      </c>
      <c r="AA42" s="1426">
        <f t="shared" si="20"/>
        <v>104.5</v>
      </c>
      <c r="AB42" s="1428">
        <v>10249</v>
      </c>
      <c r="AC42" s="1798">
        <f t="shared" si="21"/>
        <v>92.2</v>
      </c>
      <c r="AD42" s="1791">
        <v>15246</v>
      </c>
      <c r="AE42" s="1426">
        <f t="shared" si="7"/>
        <v>102.9</v>
      </c>
      <c r="AF42" s="1425">
        <v>15198</v>
      </c>
      <c r="AG42" s="1787">
        <f t="shared" si="8"/>
        <v>102.6</v>
      </c>
      <c r="AH42" s="1812">
        <v>15218</v>
      </c>
      <c r="AI42" s="1425">
        <v>15308</v>
      </c>
      <c r="AJ42" s="1798">
        <f t="shared" si="22"/>
        <v>100.6</v>
      </c>
      <c r="AK42" s="1807">
        <v>15232</v>
      </c>
      <c r="AL42" s="1787">
        <f t="shared" si="23"/>
        <v>100.1</v>
      </c>
      <c r="AM42" s="1816">
        <v>13987</v>
      </c>
      <c r="AN42" s="1798">
        <f t="shared" si="9"/>
        <v>91.9</v>
      </c>
      <c r="AO42" s="1791">
        <v>15251</v>
      </c>
      <c r="AP42" s="1426">
        <f t="shared" si="10"/>
        <v>100.2</v>
      </c>
      <c r="AQ42" s="1430">
        <v>67</v>
      </c>
      <c r="AR42" s="1426">
        <f t="shared" si="16"/>
        <v>0.44026810356157181</v>
      </c>
      <c r="AS42" s="1430">
        <v>135</v>
      </c>
      <c r="AT42" s="1821">
        <v>162</v>
      </c>
      <c r="AU42" s="1783">
        <v>15381</v>
      </c>
      <c r="AV42" s="1798">
        <f t="shared" si="24"/>
        <v>101.1</v>
      </c>
      <c r="AW42" s="1791">
        <v>13898</v>
      </c>
      <c r="AX42" s="1787">
        <f t="shared" si="11"/>
        <v>91.3</v>
      </c>
      <c r="AY42" s="1783">
        <v>13905</v>
      </c>
      <c r="AZ42" s="1798">
        <f t="shared" si="12"/>
        <v>91.4</v>
      </c>
      <c r="BA42" s="1832">
        <v>17425</v>
      </c>
      <c r="BB42" s="1783">
        <v>15230</v>
      </c>
      <c r="BC42" s="1837">
        <f t="shared" si="13"/>
        <v>87.4</v>
      </c>
      <c r="BD42" s="1791">
        <v>15247</v>
      </c>
      <c r="BE42" s="1840">
        <f t="shared" si="14"/>
        <v>87.5</v>
      </c>
      <c r="BF42" s="1783">
        <v>15299</v>
      </c>
      <c r="BG42" s="1837">
        <f t="shared" si="15"/>
        <v>87.8</v>
      </c>
      <c r="BH42" s="1791">
        <v>4095</v>
      </c>
      <c r="BI42" s="1425">
        <v>25900</v>
      </c>
      <c r="BJ42" s="1848">
        <v>12478</v>
      </c>
      <c r="BK42" s="1783">
        <v>13542</v>
      </c>
      <c r="BL42" s="1854">
        <f t="shared" si="17"/>
        <v>91.4</v>
      </c>
      <c r="BM42" s="1791">
        <v>7967</v>
      </c>
      <c r="BN42" s="1425">
        <v>1917</v>
      </c>
      <c r="BO42" s="1431">
        <f t="shared" si="18"/>
        <v>24.06175473829547</v>
      </c>
      <c r="BP42" s="1764">
        <v>109</v>
      </c>
      <c r="BQ42" s="1432" t="s">
        <v>347</v>
      </c>
    </row>
    <row r="43" spans="1:69" s="1432" customFormat="1" ht="13.5" x14ac:dyDescent="0.25">
      <c r="A43" s="1424">
        <v>73</v>
      </c>
      <c r="B43" s="1759" t="s">
        <v>37</v>
      </c>
      <c r="C43" s="1772">
        <v>18286</v>
      </c>
      <c r="D43" s="1783">
        <v>15258</v>
      </c>
      <c r="E43" s="1787">
        <f t="shared" si="0"/>
        <v>83.4</v>
      </c>
      <c r="F43" s="1797">
        <v>14052</v>
      </c>
      <c r="G43" s="1426">
        <f t="shared" si="0"/>
        <v>76.8</v>
      </c>
      <c r="H43" s="1427">
        <v>1025</v>
      </c>
      <c r="I43" s="1426">
        <f t="shared" si="0"/>
        <v>5.6</v>
      </c>
      <c r="J43" s="1427">
        <v>15077</v>
      </c>
      <c r="K43" s="1426">
        <f t="shared" si="1"/>
        <v>82.5</v>
      </c>
      <c r="L43" s="1425">
        <v>17233</v>
      </c>
      <c r="M43" s="1798">
        <f t="shared" si="2"/>
        <v>94.2</v>
      </c>
      <c r="N43" s="1791">
        <v>17361</v>
      </c>
      <c r="O43" s="1787">
        <f t="shared" si="2"/>
        <v>94.9</v>
      </c>
      <c r="P43" s="1783">
        <v>17236</v>
      </c>
      <c r="Q43" s="1426">
        <f t="shared" si="3"/>
        <v>94.3</v>
      </c>
      <c r="R43" s="1425">
        <v>17205</v>
      </c>
      <c r="S43" s="1426">
        <f t="shared" si="4"/>
        <v>94.1</v>
      </c>
      <c r="T43" s="1425">
        <v>17353</v>
      </c>
      <c r="U43" s="1798">
        <f t="shared" si="19"/>
        <v>94.9</v>
      </c>
      <c r="V43" s="1791">
        <v>17062</v>
      </c>
      <c r="W43" s="1426">
        <f t="shared" si="5"/>
        <v>93.3</v>
      </c>
      <c r="X43" s="1425">
        <v>17001</v>
      </c>
      <c r="Y43" s="1787">
        <f t="shared" si="6"/>
        <v>93</v>
      </c>
      <c r="Z43" s="1797">
        <v>16389</v>
      </c>
      <c r="AA43" s="1426">
        <f t="shared" si="20"/>
        <v>119.5</v>
      </c>
      <c r="AB43" s="1428">
        <v>13725</v>
      </c>
      <c r="AC43" s="1798">
        <f t="shared" si="21"/>
        <v>100.1</v>
      </c>
      <c r="AD43" s="1791">
        <v>17396</v>
      </c>
      <c r="AE43" s="1426">
        <f t="shared" si="7"/>
        <v>95.1</v>
      </c>
      <c r="AF43" s="1425">
        <v>17509</v>
      </c>
      <c r="AG43" s="1787">
        <f t="shared" si="8"/>
        <v>95.8</v>
      </c>
      <c r="AH43" s="1812">
        <v>18351</v>
      </c>
      <c r="AI43" s="1425">
        <v>18184</v>
      </c>
      <c r="AJ43" s="1798">
        <f t="shared" si="22"/>
        <v>99.1</v>
      </c>
      <c r="AK43" s="1807">
        <v>18166</v>
      </c>
      <c r="AL43" s="1787">
        <f t="shared" si="23"/>
        <v>99</v>
      </c>
      <c r="AM43" s="1816">
        <v>16624</v>
      </c>
      <c r="AN43" s="1798">
        <f t="shared" si="9"/>
        <v>90.6</v>
      </c>
      <c r="AO43" s="1791">
        <v>18323</v>
      </c>
      <c r="AP43" s="1426">
        <f t="shared" si="10"/>
        <v>99.8</v>
      </c>
      <c r="AQ43" s="1430">
        <v>70</v>
      </c>
      <c r="AR43" s="1426">
        <f t="shared" si="16"/>
        <v>0.38145060214702198</v>
      </c>
      <c r="AS43" s="1430">
        <v>115</v>
      </c>
      <c r="AT43" s="1821">
        <v>238</v>
      </c>
      <c r="AU43" s="1783">
        <v>18401</v>
      </c>
      <c r="AV43" s="1798">
        <f t="shared" si="24"/>
        <v>100.3</v>
      </c>
      <c r="AW43" s="1791">
        <v>16723</v>
      </c>
      <c r="AX43" s="1787">
        <f t="shared" si="11"/>
        <v>91.1</v>
      </c>
      <c r="AY43" s="1783">
        <v>16765</v>
      </c>
      <c r="AZ43" s="1798">
        <f t="shared" si="12"/>
        <v>91.4</v>
      </c>
      <c r="BA43" s="1832">
        <v>19998</v>
      </c>
      <c r="BB43" s="1783">
        <v>17835</v>
      </c>
      <c r="BC43" s="1837">
        <f t="shared" si="13"/>
        <v>89.2</v>
      </c>
      <c r="BD43" s="1791">
        <v>18026</v>
      </c>
      <c r="BE43" s="1840">
        <f t="shared" si="14"/>
        <v>90.1</v>
      </c>
      <c r="BF43" s="1783">
        <v>17631</v>
      </c>
      <c r="BG43" s="1837">
        <f t="shared" si="15"/>
        <v>88.2</v>
      </c>
      <c r="BH43" s="1791">
        <v>19348</v>
      </c>
      <c r="BI43" s="1425">
        <v>45550</v>
      </c>
      <c r="BJ43" s="1848">
        <v>11189</v>
      </c>
      <c r="BK43" s="1783">
        <v>14143</v>
      </c>
      <c r="BL43" s="1854">
        <f t="shared" si="17"/>
        <v>77.3</v>
      </c>
      <c r="BM43" s="1791">
        <v>11203</v>
      </c>
      <c r="BN43" s="1425">
        <v>3042</v>
      </c>
      <c r="BO43" s="1431">
        <f t="shared" si="18"/>
        <v>27.153441042577882</v>
      </c>
      <c r="BP43" s="1764">
        <v>560</v>
      </c>
      <c r="BQ43" s="1432" t="s">
        <v>345</v>
      </c>
    </row>
    <row r="44" spans="1:69" s="1432" customFormat="1" ht="13.5" x14ac:dyDescent="0.25">
      <c r="A44" s="1424">
        <v>76</v>
      </c>
      <c r="B44" s="1758" t="s">
        <v>485</v>
      </c>
      <c r="C44" s="1772">
        <v>51379</v>
      </c>
      <c r="D44" s="1783">
        <v>46624</v>
      </c>
      <c r="E44" s="1787">
        <f t="shared" si="0"/>
        <v>90.7</v>
      </c>
      <c r="F44" s="1797">
        <v>45361</v>
      </c>
      <c r="G44" s="1426">
        <f t="shared" si="0"/>
        <v>88.3</v>
      </c>
      <c r="H44" s="1427">
        <v>624</v>
      </c>
      <c r="I44" s="1426">
        <f t="shared" si="0"/>
        <v>1.2</v>
      </c>
      <c r="J44" s="1427">
        <v>45985</v>
      </c>
      <c r="K44" s="1426">
        <f t="shared" si="1"/>
        <v>89.5</v>
      </c>
      <c r="L44" s="1425">
        <v>52054</v>
      </c>
      <c r="M44" s="1798">
        <f t="shared" si="2"/>
        <v>101.3</v>
      </c>
      <c r="N44" s="1791">
        <v>51981</v>
      </c>
      <c r="O44" s="1787">
        <f t="shared" si="2"/>
        <v>101.2</v>
      </c>
      <c r="P44" s="1783">
        <v>51790</v>
      </c>
      <c r="Q44" s="1426">
        <f t="shared" si="3"/>
        <v>100.8</v>
      </c>
      <c r="R44" s="1425">
        <v>52278</v>
      </c>
      <c r="S44" s="1426">
        <f t="shared" si="4"/>
        <v>101.7</v>
      </c>
      <c r="T44" s="1425">
        <v>52121</v>
      </c>
      <c r="U44" s="1798">
        <f t="shared" si="19"/>
        <v>101.44</v>
      </c>
      <c r="V44" s="1791">
        <v>51609</v>
      </c>
      <c r="W44" s="1426">
        <f t="shared" si="5"/>
        <v>100.4</v>
      </c>
      <c r="X44" s="1425">
        <v>51990</v>
      </c>
      <c r="Y44" s="1787">
        <f t="shared" si="6"/>
        <v>101.2</v>
      </c>
      <c r="Z44" s="1797">
        <v>41491</v>
      </c>
      <c r="AA44" s="1426">
        <f t="shared" si="20"/>
        <v>107.7</v>
      </c>
      <c r="AB44" s="1428">
        <v>32324</v>
      </c>
      <c r="AC44" s="1798">
        <f t="shared" si="21"/>
        <v>83.9</v>
      </c>
      <c r="AD44" s="1791">
        <v>51938</v>
      </c>
      <c r="AE44" s="1426">
        <f t="shared" si="7"/>
        <v>101.1</v>
      </c>
      <c r="AF44" s="1425">
        <v>52468</v>
      </c>
      <c r="AG44" s="1787">
        <f t="shared" si="8"/>
        <v>102.1</v>
      </c>
      <c r="AH44" s="1812">
        <v>52858</v>
      </c>
      <c r="AI44" s="1425">
        <v>52751</v>
      </c>
      <c r="AJ44" s="1798">
        <f t="shared" si="22"/>
        <v>99.8</v>
      </c>
      <c r="AK44" s="1807">
        <v>53373</v>
      </c>
      <c r="AL44" s="1787">
        <f t="shared" si="23"/>
        <v>101</v>
      </c>
      <c r="AM44" s="1816">
        <v>51176</v>
      </c>
      <c r="AN44" s="1798">
        <f t="shared" si="9"/>
        <v>96.8</v>
      </c>
      <c r="AO44" s="1791">
        <v>52531</v>
      </c>
      <c r="AP44" s="1426">
        <f t="shared" si="10"/>
        <v>99.4</v>
      </c>
      <c r="AQ44" s="1430">
        <v>1962</v>
      </c>
      <c r="AR44" s="1426">
        <f t="shared" si="16"/>
        <v>3.7118317000264862</v>
      </c>
      <c r="AS44" s="1430">
        <v>1021</v>
      </c>
      <c r="AT44" s="1821">
        <v>1905</v>
      </c>
      <c r="AU44" s="1783">
        <v>52766</v>
      </c>
      <c r="AV44" s="1798">
        <f t="shared" si="24"/>
        <v>99.8</v>
      </c>
      <c r="AW44" s="1791">
        <v>51449</v>
      </c>
      <c r="AX44" s="1787">
        <f t="shared" si="11"/>
        <v>97.3</v>
      </c>
      <c r="AY44" s="1783">
        <v>51404</v>
      </c>
      <c r="AZ44" s="1798">
        <f t="shared" si="12"/>
        <v>97.2</v>
      </c>
      <c r="BA44" s="1832">
        <v>55526</v>
      </c>
      <c r="BB44" s="1783">
        <v>53212</v>
      </c>
      <c r="BC44" s="1837">
        <f t="shared" si="13"/>
        <v>95.8</v>
      </c>
      <c r="BD44" s="1791">
        <v>54054</v>
      </c>
      <c r="BE44" s="1840">
        <f t="shared" si="14"/>
        <v>97.3</v>
      </c>
      <c r="BF44" s="1783">
        <v>53352</v>
      </c>
      <c r="BG44" s="1837">
        <f t="shared" si="15"/>
        <v>96.1</v>
      </c>
      <c r="BH44" s="1791">
        <v>44542</v>
      </c>
      <c r="BI44" s="1425">
        <v>129202</v>
      </c>
      <c r="BJ44" s="1848">
        <v>31734</v>
      </c>
      <c r="BK44" s="1783">
        <v>38512</v>
      </c>
      <c r="BL44" s="1854">
        <f t="shared" si="17"/>
        <v>75</v>
      </c>
      <c r="BM44" s="1791">
        <v>27948</v>
      </c>
      <c r="BN44" s="1425">
        <v>13480</v>
      </c>
      <c r="BO44" s="1431">
        <f t="shared" si="18"/>
        <v>48.232431658794908</v>
      </c>
      <c r="BP44" s="1764">
        <v>9753</v>
      </c>
      <c r="BQ44" s="1432" t="s">
        <v>352</v>
      </c>
    </row>
    <row r="45" spans="1:69" s="1432" customFormat="1" ht="13.5" x14ac:dyDescent="0.25">
      <c r="A45" s="1424" t="s">
        <v>332</v>
      </c>
      <c r="B45" s="1758" t="s">
        <v>331</v>
      </c>
      <c r="C45" s="1772">
        <v>5113</v>
      </c>
      <c r="D45" s="1783">
        <v>4481</v>
      </c>
      <c r="E45" s="1787">
        <f t="shared" si="0"/>
        <v>87.6</v>
      </c>
      <c r="F45" s="1797">
        <v>4036</v>
      </c>
      <c r="G45" s="1426">
        <f t="shared" si="0"/>
        <v>78.900000000000006</v>
      </c>
      <c r="H45" s="1427">
        <v>268</v>
      </c>
      <c r="I45" s="1426">
        <f t="shared" si="0"/>
        <v>5.2</v>
      </c>
      <c r="J45" s="1427">
        <v>4304</v>
      </c>
      <c r="K45" s="1426">
        <f t="shared" si="1"/>
        <v>84.2</v>
      </c>
      <c r="L45" s="1425">
        <v>4575</v>
      </c>
      <c r="M45" s="1798">
        <f t="shared" si="2"/>
        <v>89.5</v>
      </c>
      <c r="N45" s="1791">
        <v>3958</v>
      </c>
      <c r="O45" s="1787">
        <f t="shared" si="2"/>
        <v>77.400000000000006</v>
      </c>
      <c r="P45" s="1783">
        <v>4586</v>
      </c>
      <c r="Q45" s="1426">
        <f t="shared" si="3"/>
        <v>89.7</v>
      </c>
      <c r="R45" s="1425">
        <v>4287</v>
      </c>
      <c r="S45" s="1426">
        <f t="shared" si="4"/>
        <v>83.8</v>
      </c>
      <c r="T45" s="1425">
        <v>3955</v>
      </c>
      <c r="U45" s="1798">
        <f t="shared" si="19"/>
        <v>77.349999999999994</v>
      </c>
      <c r="V45" s="1791">
        <v>4023</v>
      </c>
      <c r="W45" s="1426">
        <f t="shared" si="5"/>
        <v>78.7</v>
      </c>
      <c r="X45" s="1425">
        <v>3873</v>
      </c>
      <c r="Y45" s="1787">
        <f t="shared" si="6"/>
        <v>75.7</v>
      </c>
      <c r="Z45" s="1797">
        <v>4143</v>
      </c>
      <c r="AA45" s="1426">
        <f t="shared" si="20"/>
        <v>108</v>
      </c>
      <c r="AB45" s="1428">
        <v>2977</v>
      </c>
      <c r="AC45" s="1798">
        <f t="shared" si="21"/>
        <v>77.599999999999994</v>
      </c>
      <c r="AD45" s="1791">
        <v>4523</v>
      </c>
      <c r="AE45" s="1426">
        <f t="shared" si="7"/>
        <v>88.5</v>
      </c>
      <c r="AF45" s="1425">
        <v>4151</v>
      </c>
      <c r="AG45" s="1787">
        <f t="shared" si="8"/>
        <v>81.2</v>
      </c>
      <c r="AH45" s="1812">
        <v>5113</v>
      </c>
      <c r="AI45" s="1425">
        <v>4608</v>
      </c>
      <c r="AJ45" s="1798">
        <f t="shared" si="22"/>
        <v>90.1</v>
      </c>
      <c r="AK45" s="1807">
        <v>4584</v>
      </c>
      <c r="AL45" s="1787">
        <f t="shared" si="23"/>
        <v>89.7</v>
      </c>
      <c r="AM45" s="1816">
        <v>3083</v>
      </c>
      <c r="AN45" s="1798">
        <f t="shared" si="9"/>
        <v>60.3</v>
      </c>
      <c r="AO45" s="1791">
        <v>4393</v>
      </c>
      <c r="AP45" s="1426">
        <f t="shared" si="10"/>
        <v>85.9</v>
      </c>
      <c r="AQ45" s="1430">
        <v>117</v>
      </c>
      <c r="AR45" s="1426">
        <f t="shared" si="16"/>
        <v>2.2882847643262272</v>
      </c>
      <c r="AS45" s="1430">
        <v>159</v>
      </c>
      <c r="AT45" s="1821">
        <v>251</v>
      </c>
      <c r="AU45" s="1783">
        <v>4624</v>
      </c>
      <c r="AV45" s="1798">
        <f t="shared" si="24"/>
        <v>90.4</v>
      </c>
      <c r="AW45" s="1791">
        <v>3177</v>
      </c>
      <c r="AX45" s="1787">
        <f>ROUND(AW45/$AH45*100,1)</f>
        <v>62.1</v>
      </c>
      <c r="AY45" s="1783">
        <v>3171</v>
      </c>
      <c r="AZ45" s="1798">
        <f t="shared" si="12"/>
        <v>62</v>
      </c>
      <c r="BA45" s="1832">
        <v>6010</v>
      </c>
      <c r="BB45" s="1783">
        <v>3914</v>
      </c>
      <c r="BC45" s="1837">
        <f t="shared" si="13"/>
        <v>65.099999999999994</v>
      </c>
      <c r="BD45" s="1791">
        <v>3927</v>
      </c>
      <c r="BE45" s="1840">
        <f t="shared" si="14"/>
        <v>65.3</v>
      </c>
      <c r="BF45" s="1783">
        <v>3743</v>
      </c>
      <c r="BG45" s="1837">
        <f t="shared" si="15"/>
        <v>62.3</v>
      </c>
      <c r="BH45" s="1791">
        <v>5021</v>
      </c>
      <c r="BI45" s="1425">
        <v>5474</v>
      </c>
      <c r="BJ45" s="1848">
        <v>3951</v>
      </c>
      <c r="BK45" s="1783">
        <v>3754</v>
      </c>
      <c r="BL45" s="1854">
        <f t="shared" si="17"/>
        <v>73.400000000000006</v>
      </c>
      <c r="BM45" s="1791">
        <v>3373</v>
      </c>
      <c r="BN45" s="1425">
        <v>556</v>
      </c>
      <c r="BO45" s="1431">
        <f t="shared" si="18"/>
        <v>16.483842276904834</v>
      </c>
      <c r="BP45" s="1764">
        <v>70</v>
      </c>
      <c r="BQ45" s="1432" t="s">
        <v>352</v>
      </c>
    </row>
    <row r="46" spans="1:69" s="1432" customFormat="1" ht="13.5" x14ac:dyDescent="0.25">
      <c r="A46" s="1424">
        <v>97</v>
      </c>
      <c r="B46" s="1758" t="s">
        <v>39</v>
      </c>
      <c r="C46" s="1772">
        <v>828</v>
      </c>
      <c r="D46" s="1783">
        <v>782</v>
      </c>
      <c r="E46" s="1787">
        <f t="shared" si="0"/>
        <v>94.4</v>
      </c>
      <c r="F46" s="1797">
        <v>273</v>
      </c>
      <c r="G46" s="1426">
        <f t="shared" si="0"/>
        <v>33</v>
      </c>
      <c r="H46" s="1427">
        <v>323</v>
      </c>
      <c r="I46" s="1426">
        <f t="shared" si="0"/>
        <v>39</v>
      </c>
      <c r="J46" s="1427">
        <v>596</v>
      </c>
      <c r="K46" s="1426">
        <f t="shared" si="1"/>
        <v>72</v>
      </c>
      <c r="L46" s="1425">
        <v>778</v>
      </c>
      <c r="M46" s="1798">
        <f t="shared" si="2"/>
        <v>94</v>
      </c>
      <c r="N46" s="1791">
        <v>645</v>
      </c>
      <c r="O46" s="1787">
        <f t="shared" si="2"/>
        <v>77.900000000000006</v>
      </c>
      <c r="P46" s="1783">
        <v>779</v>
      </c>
      <c r="Q46" s="1426">
        <f t="shared" si="3"/>
        <v>94.1</v>
      </c>
      <c r="R46" s="1425">
        <v>714</v>
      </c>
      <c r="S46" s="1426">
        <f t="shared" si="4"/>
        <v>86.2</v>
      </c>
      <c r="T46" s="1425">
        <v>641</v>
      </c>
      <c r="U46" s="1798">
        <f t="shared" si="19"/>
        <v>77.42</v>
      </c>
      <c r="V46" s="1791">
        <v>669</v>
      </c>
      <c r="W46" s="1426">
        <f t="shared" si="5"/>
        <v>80.8</v>
      </c>
      <c r="X46" s="1425">
        <v>636</v>
      </c>
      <c r="Y46" s="1787">
        <f t="shared" si="6"/>
        <v>76.8</v>
      </c>
      <c r="Z46" s="1797">
        <v>592</v>
      </c>
      <c r="AA46" s="1426">
        <f t="shared" si="20"/>
        <v>95.3</v>
      </c>
      <c r="AB46" s="1428">
        <v>428</v>
      </c>
      <c r="AC46" s="1798">
        <f t="shared" si="21"/>
        <v>68.900000000000006</v>
      </c>
      <c r="AD46" s="1791">
        <v>774</v>
      </c>
      <c r="AE46" s="1426">
        <f t="shared" si="7"/>
        <v>93.5</v>
      </c>
      <c r="AF46" s="1425">
        <v>712</v>
      </c>
      <c r="AG46" s="1787">
        <f t="shared" si="8"/>
        <v>86</v>
      </c>
      <c r="AH46" s="1812">
        <v>861</v>
      </c>
      <c r="AI46" s="1425">
        <v>723</v>
      </c>
      <c r="AJ46" s="1798">
        <f t="shared" si="22"/>
        <v>84</v>
      </c>
      <c r="AK46" s="1807">
        <v>738</v>
      </c>
      <c r="AL46" s="1787">
        <f t="shared" si="23"/>
        <v>85.7</v>
      </c>
      <c r="AM46" s="1816">
        <v>757</v>
      </c>
      <c r="AN46" s="1798">
        <f t="shared" si="9"/>
        <v>87.9</v>
      </c>
      <c r="AO46" s="1791">
        <v>676</v>
      </c>
      <c r="AP46" s="1426">
        <f t="shared" si="10"/>
        <v>78.5</v>
      </c>
      <c r="AQ46" s="1430">
        <v>15</v>
      </c>
      <c r="AR46" s="1426">
        <f>AQ46/AH46*100</f>
        <v>1.7421602787456445</v>
      </c>
      <c r="AS46" s="1430">
        <v>29</v>
      </c>
      <c r="AT46" s="1821">
        <v>21</v>
      </c>
      <c r="AU46" s="1783">
        <v>731</v>
      </c>
      <c r="AV46" s="1798">
        <f t="shared" si="24"/>
        <v>84.9</v>
      </c>
      <c r="AW46" s="1791">
        <v>608</v>
      </c>
      <c r="AX46" s="1787">
        <f t="shared" si="11"/>
        <v>70.599999999999994</v>
      </c>
      <c r="AY46" s="1783">
        <v>610</v>
      </c>
      <c r="AZ46" s="1798">
        <f t="shared" si="12"/>
        <v>70.8</v>
      </c>
      <c r="BA46" s="1832">
        <v>823</v>
      </c>
      <c r="BB46" s="1783">
        <v>720</v>
      </c>
      <c r="BC46" s="1837">
        <f t="shared" si="13"/>
        <v>87.5</v>
      </c>
      <c r="BD46" s="1791">
        <v>708</v>
      </c>
      <c r="BE46" s="1840">
        <f t="shared" si="14"/>
        <v>86</v>
      </c>
      <c r="BF46" s="1783">
        <v>719</v>
      </c>
      <c r="BG46" s="1837">
        <f t="shared" si="15"/>
        <v>87.4</v>
      </c>
      <c r="BH46" s="1791">
        <v>409</v>
      </c>
      <c r="BI46" s="1425">
        <v>958</v>
      </c>
      <c r="BJ46" s="1848">
        <v>444</v>
      </c>
      <c r="BK46" s="1783">
        <v>503</v>
      </c>
      <c r="BL46" s="1854">
        <f t="shared" si="17"/>
        <v>60.7</v>
      </c>
      <c r="BM46" s="1791">
        <v>344</v>
      </c>
      <c r="BN46" s="1425">
        <v>215</v>
      </c>
      <c r="BO46" s="1431">
        <f t="shared" si="18"/>
        <v>62.5</v>
      </c>
      <c r="BP46" s="1764">
        <v>26</v>
      </c>
      <c r="BQ46" s="1432" t="s">
        <v>344</v>
      </c>
    </row>
    <row r="47" spans="1:69" s="1432" customFormat="1" ht="14.25" thickBot="1" x14ac:dyDescent="0.3">
      <c r="A47" s="1424">
        <v>99</v>
      </c>
      <c r="B47" s="1759" t="s">
        <v>40</v>
      </c>
      <c r="C47" s="1773">
        <v>1841</v>
      </c>
      <c r="D47" s="1784">
        <v>1682</v>
      </c>
      <c r="E47" s="1788">
        <f t="shared" si="0"/>
        <v>91.4</v>
      </c>
      <c r="F47" s="1799">
        <v>858</v>
      </c>
      <c r="G47" s="1766">
        <f t="shared" si="0"/>
        <v>46.6</v>
      </c>
      <c r="H47" s="1767">
        <v>227</v>
      </c>
      <c r="I47" s="1766">
        <f t="shared" si="0"/>
        <v>12.3</v>
      </c>
      <c r="J47" s="1767">
        <v>1085</v>
      </c>
      <c r="K47" s="1766">
        <f t="shared" si="1"/>
        <v>58.9</v>
      </c>
      <c r="L47" s="1765">
        <v>1874</v>
      </c>
      <c r="M47" s="1800">
        <f t="shared" si="2"/>
        <v>101.8</v>
      </c>
      <c r="N47" s="1792">
        <v>1267</v>
      </c>
      <c r="O47" s="1788">
        <f t="shared" si="2"/>
        <v>68.8</v>
      </c>
      <c r="P47" s="1784">
        <v>1865</v>
      </c>
      <c r="Q47" s="1766">
        <f t="shared" si="3"/>
        <v>101.3</v>
      </c>
      <c r="R47" s="1765">
        <v>1588</v>
      </c>
      <c r="S47" s="1766">
        <f t="shared" si="4"/>
        <v>86.3</v>
      </c>
      <c r="T47" s="1765">
        <v>1273</v>
      </c>
      <c r="U47" s="1800">
        <f t="shared" si="19"/>
        <v>69.150000000000006</v>
      </c>
      <c r="V47" s="1792">
        <v>1284</v>
      </c>
      <c r="W47" s="1766">
        <f t="shared" si="5"/>
        <v>69.7</v>
      </c>
      <c r="X47" s="1765">
        <v>1185</v>
      </c>
      <c r="Y47" s="1788">
        <f t="shared" si="6"/>
        <v>64.400000000000006</v>
      </c>
      <c r="Z47" s="1799">
        <v>1311</v>
      </c>
      <c r="AA47" s="1766">
        <f t="shared" si="20"/>
        <v>94.9</v>
      </c>
      <c r="AB47" s="1768">
        <v>791</v>
      </c>
      <c r="AC47" s="1800">
        <f t="shared" si="21"/>
        <v>57.3</v>
      </c>
      <c r="AD47" s="1792">
        <v>1923</v>
      </c>
      <c r="AE47" s="1766">
        <f t="shared" si="7"/>
        <v>104.5</v>
      </c>
      <c r="AF47" s="1765">
        <v>1546</v>
      </c>
      <c r="AG47" s="1788">
        <f t="shared" si="8"/>
        <v>84</v>
      </c>
      <c r="AH47" s="1813">
        <v>1895</v>
      </c>
      <c r="AI47" s="1765">
        <v>1817</v>
      </c>
      <c r="AJ47" s="1800">
        <f t="shared" si="22"/>
        <v>95.9</v>
      </c>
      <c r="AK47" s="1808">
        <v>1736</v>
      </c>
      <c r="AL47" s="1788">
        <f t="shared" si="23"/>
        <v>91.6</v>
      </c>
      <c r="AM47" s="1817">
        <v>1842</v>
      </c>
      <c r="AN47" s="1800">
        <f t="shared" si="9"/>
        <v>97.2</v>
      </c>
      <c r="AO47" s="1792">
        <v>1434</v>
      </c>
      <c r="AP47" s="1766">
        <f t="shared" si="10"/>
        <v>75.7</v>
      </c>
      <c r="AQ47" s="1769">
        <v>238</v>
      </c>
      <c r="AR47" s="1766">
        <f>AQ47/AH47*100</f>
        <v>12.559366754617415</v>
      </c>
      <c r="AS47" s="1769">
        <v>266</v>
      </c>
      <c r="AT47" s="1822">
        <v>185</v>
      </c>
      <c r="AU47" s="1784">
        <v>1819</v>
      </c>
      <c r="AV47" s="1800">
        <f t="shared" si="24"/>
        <v>96</v>
      </c>
      <c r="AW47" s="1792">
        <v>956</v>
      </c>
      <c r="AX47" s="1788">
        <f t="shared" si="11"/>
        <v>50.4</v>
      </c>
      <c r="AY47" s="1784">
        <v>945</v>
      </c>
      <c r="AZ47" s="1800">
        <f t="shared" si="12"/>
        <v>49.9</v>
      </c>
      <c r="BA47" s="1833">
        <v>1874</v>
      </c>
      <c r="BB47" s="1784">
        <v>1307</v>
      </c>
      <c r="BC47" s="1838">
        <f t="shared" si="13"/>
        <v>69.7</v>
      </c>
      <c r="BD47" s="1792">
        <v>1312</v>
      </c>
      <c r="BE47" s="1841">
        <f t="shared" si="14"/>
        <v>70</v>
      </c>
      <c r="BF47" s="1784">
        <v>1280</v>
      </c>
      <c r="BG47" s="1838">
        <f t="shared" si="15"/>
        <v>68.3</v>
      </c>
      <c r="BH47" s="1792">
        <v>1363</v>
      </c>
      <c r="BI47" s="1765">
        <v>2322</v>
      </c>
      <c r="BJ47" s="1849">
        <v>1145</v>
      </c>
      <c r="BK47" s="1784">
        <v>1162</v>
      </c>
      <c r="BL47" s="1855">
        <f t="shared" si="17"/>
        <v>63.1</v>
      </c>
      <c r="BM47" s="1792">
        <v>711</v>
      </c>
      <c r="BN47" s="1765">
        <v>237</v>
      </c>
      <c r="BO47" s="1770">
        <f t="shared" si="18"/>
        <v>33.333333333333329</v>
      </c>
      <c r="BP47" s="1771">
        <v>39</v>
      </c>
      <c r="BQ47" s="1432" t="s">
        <v>346</v>
      </c>
    </row>
    <row r="48" spans="1:69" s="1432" customFormat="1" ht="14.25" thickBot="1" x14ac:dyDescent="0.3">
      <c r="U48" s="1433"/>
    </row>
    <row r="49" spans="2:69" s="1432" customFormat="1" ht="14.25" thickBot="1" x14ac:dyDescent="0.3">
      <c r="B49" s="1434" t="s">
        <v>41</v>
      </c>
      <c r="C49" s="1435">
        <f>SUM(C11:C47)</f>
        <v>713694</v>
      </c>
      <c r="D49" s="1436">
        <f>SUM(D11:D47)</f>
        <v>636088</v>
      </c>
      <c r="E49" s="1437">
        <f t="shared" si="0"/>
        <v>89.1</v>
      </c>
      <c r="F49" s="1436">
        <f>SUM(F11:F47)</f>
        <v>546738</v>
      </c>
      <c r="G49" s="1437">
        <f t="shared" si="0"/>
        <v>76.599999999999994</v>
      </c>
      <c r="H49" s="1436">
        <f>SUM(H11:H47)</f>
        <v>77034</v>
      </c>
      <c r="I49" s="1437">
        <f t="shared" si="0"/>
        <v>10.8</v>
      </c>
      <c r="J49" s="1436">
        <f>SUM(J11:J47)</f>
        <v>623772</v>
      </c>
      <c r="K49" s="1437">
        <f t="shared" si="1"/>
        <v>87.4</v>
      </c>
      <c r="L49" s="1436">
        <f>SUM(L11:L47)</f>
        <v>660621</v>
      </c>
      <c r="M49" s="1437">
        <f t="shared" si="2"/>
        <v>92.6</v>
      </c>
      <c r="N49" s="1436">
        <f>SUM(N11:N47)</f>
        <v>660111</v>
      </c>
      <c r="O49" s="1437">
        <f t="shared" si="2"/>
        <v>92.5</v>
      </c>
      <c r="P49" s="1436">
        <f>SUM(P11:P47)</f>
        <v>660066</v>
      </c>
      <c r="Q49" s="1437">
        <f t="shared" si="3"/>
        <v>92.5</v>
      </c>
      <c r="R49" s="1436">
        <f>SUM(R11:R47)</f>
        <v>659487</v>
      </c>
      <c r="S49" s="1437">
        <f t="shared" si="4"/>
        <v>92.4</v>
      </c>
      <c r="T49" s="1436">
        <f>SUM(T11:T47)</f>
        <v>659862</v>
      </c>
      <c r="U49" s="1437">
        <f>ROUND(T49/$C49*100,1)</f>
        <v>92.5</v>
      </c>
      <c r="V49" s="1436">
        <f>SUM(V11:V47)</f>
        <v>637688</v>
      </c>
      <c r="W49" s="1437">
        <f t="shared" si="5"/>
        <v>89.4</v>
      </c>
      <c r="X49" s="1436">
        <f>SUM(X11:X47)</f>
        <v>640817</v>
      </c>
      <c r="Y49" s="1437">
        <f t="shared" si="6"/>
        <v>89.8</v>
      </c>
      <c r="Z49" s="1436">
        <f>SUM(Z11:Z47)</f>
        <v>572705</v>
      </c>
      <c r="AA49" s="1437">
        <f t="shared" si="20"/>
        <v>107</v>
      </c>
      <c r="AB49" s="1436">
        <f>SUM(AB11:AB47)</f>
        <v>437000</v>
      </c>
      <c r="AC49" s="1437">
        <f t="shared" si="21"/>
        <v>81.599999999999994</v>
      </c>
      <c r="AD49" s="1436">
        <f>SUM(AD11:AD47)</f>
        <v>669137</v>
      </c>
      <c r="AE49" s="1437">
        <f t="shared" si="7"/>
        <v>93.8</v>
      </c>
      <c r="AF49" s="1436">
        <f>SUM(AF11:AF47)</f>
        <v>667493</v>
      </c>
      <c r="AG49" s="1437">
        <f t="shared" si="8"/>
        <v>93.5</v>
      </c>
      <c r="AH49" s="1438">
        <f>SUM(AH11:AH47)</f>
        <v>727193</v>
      </c>
      <c r="AI49" s="1436">
        <f>SUM(AI11:AI47)</f>
        <v>692174</v>
      </c>
      <c r="AJ49" s="1437">
        <f>ROUND(AI49/$AH49*100,1)</f>
        <v>95.2</v>
      </c>
      <c r="AK49" s="1436">
        <f>SUM(AK11:AK47)</f>
        <v>689123</v>
      </c>
      <c r="AL49" s="1437">
        <f>ROUND(AK49/$AH49*100,1)</f>
        <v>94.8</v>
      </c>
      <c r="AM49" s="1436">
        <f>SUM(AM11:AM47)</f>
        <v>635314</v>
      </c>
      <c r="AN49" s="1437">
        <f t="shared" si="9"/>
        <v>87.4</v>
      </c>
      <c r="AO49" s="1436">
        <f>SUM(AO11:AO47)</f>
        <v>682350</v>
      </c>
      <c r="AP49" s="1437">
        <f t="shared" si="10"/>
        <v>93.8</v>
      </c>
      <c r="AQ49" s="1436">
        <f>SUM(AQ11:AQ47)</f>
        <v>13290</v>
      </c>
      <c r="AR49" s="1437">
        <f>AQ49/AH49*100</f>
        <v>1.8275753479475187</v>
      </c>
      <c r="AS49" s="1436">
        <f>SUM(AS11:AS47)</f>
        <v>13595</v>
      </c>
      <c r="AT49" s="1436">
        <f>SUM(AT11:AT47)</f>
        <v>23379</v>
      </c>
      <c r="AU49" s="1436">
        <f>SUM(AU11:AU47)</f>
        <v>701725</v>
      </c>
      <c r="AV49" s="1437">
        <f>ROUND(AU49/$AH49*100,1)</f>
        <v>96.5</v>
      </c>
      <c r="AW49" s="1436">
        <f>SUM(AW11:AW47)</f>
        <v>620203</v>
      </c>
      <c r="AX49" s="1437">
        <f t="shared" si="11"/>
        <v>85.3</v>
      </c>
      <c r="AY49" s="1436">
        <f>SUM(AY11:AY47)</f>
        <v>621201</v>
      </c>
      <c r="AZ49" s="1437">
        <f t="shared" si="12"/>
        <v>85.4</v>
      </c>
      <c r="BA49" s="1439">
        <f>SUM(BA11:BA47)</f>
        <v>761215</v>
      </c>
      <c r="BB49" s="1436">
        <f>SUM(BB11:BB47)</f>
        <v>669159</v>
      </c>
      <c r="BC49" s="1440">
        <f t="shared" si="13"/>
        <v>87.9</v>
      </c>
      <c r="BD49" s="1436">
        <f>SUM(BD11:BD47)</f>
        <v>671029</v>
      </c>
      <c r="BE49" s="1440">
        <f t="shared" si="14"/>
        <v>88.2</v>
      </c>
      <c r="BF49" s="1436">
        <f>SUM(BF11:BF47)</f>
        <v>670402</v>
      </c>
      <c r="BG49" s="1440">
        <f t="shared" si="15"/>
        <v>88.1</v>
      </c>
      <c r="BH49" s="1441">
        <f>SUM(BH11:BH47)</f>
        <v>541228</v>
      </c>
      <c r="BI49" s="1441">
        <f>SUM(BI11:BI47)</f>
        <v>1522768</v>
      </c>
      <c r="BJ49" s="1442">
        <f>SUM(BJ11:BJ47)</f>
        <v>491652</v>
      </c>
      <c r="BK49" s="1443">
        <f>SUM(BK11:BK47)</f>
        <v>562933</v>
      </c>
      <c r="BL49" s="1444">
        <f t="shared" si="17"/>
        <v>78.900000000000006</v>
      </c>
      <c r="BM49" s="1443">
        <f>SUM(BM11:BM47)</f>
        <v>364757</v>
      </c>
      <c r="BN49" s="1445">
        <f>SUM(BN11:BN47)</f>
        <v>105353</v>
      </c>
      <c r="BO49" s="1446">
        <f t="shared" si="18"/>
        <v>28.883064615620814</v>
      </c>
      <c r="BP49" s="1447">
        <f>SUM(BP11:BP47)</f>
        <v>32635</v>
      </c>
      <c r="BQ49" s="1448"/>
    </row>
    <row r="50" spans="2:69" x14ac:dyDescent="0.3">
      <c r="B50" s="1450" t="s">
        <v>227</v>
      </c>
      <c r="D50" s="1451"/>
      <c r="E50" s="1452">
        <f>E49-$B$61</f>
        <v>-10.86</v>
      </c>
      <c r="F50" s="1452"/>
      <c r="G50" s="1452"/>
      <c r="H50" s="1452"/>
      <c r="I50" s="1452"/>
      <c r="J50" s="1452"/>
      <c r="K50" s="1452">
        <f>K49-$B$61</f>
        <v>-12.559999999999988</v>
      </c>
      <c r="O50" s="1452">
        <f>O49-$B$61</f>
        <v>-7.4599999999999937</v>
      </c>
      <c r="P50" s="1451"/>
      <c r="Q50" s="1452">
        <f>Q49-$B$61</f>
        <v>-7.4599999999999937</v>
      </c>
      <c r="R50" s="1451"/>
      <c r="S50" s="1452">
        <f>S49-$B$61</f>
        <v>-7.5599999999999881</v>
      </c>
      <c r="T50" s="1451"/>
      <c r="U50" s="1452">
        <f>U49-$B$61</f>
        <v>-7.4599999999999937</v>
      </c>
      <c r="V50" s="1451"/>
      <c r="W50" s="1452">
        <f>W49-$B$61</f>
        <v>-10.559999999999988</v>
      </c>
      <c r="X50" s="1451"/>
      <c r="Y50" s="1452">
        <f>Y49-$B$61</f>
        <v>-10.159999999999997</v>
      </c>
      <c r="Z50" s="1452"/>
      <c r="AA50" s="1452"/>
      <c r="AB50" s="1452"/>
      <c r="AC50" s="1452"/>
      <c r="AD50" s="1451"/>
      <c r="AE50" s="1452">
        <f>AE49-$B$61</f>
        <v>-6.1599999999999966</v>
      </c>
      <c r="AF50" s="1451"/>
      <c r="AG50" s="1452">
        <f>AG49-$B$61</f>
        <v>-6.4599999999999937</v>
      </c>
      <c r="AH50" s="1451"/>
      <c r="AI50" s="1451"/>
      <c r="AJ50" s="1452">
        <f>AJ49-$B$61</f>
        <v>-4.7599999999999909</v>
      </c>
      <c r="AK50" s="1452"/>
      <c r="AL50" s="1452"/>
      <c r="AM50" s="1451"/>
      <c r="AN50" s="1452">
        <f>AN49-$B$61</f>
        <v>-12.559999999999988</v>
      </c>
      <c r="AO50" s="1451"/>
      <c r="AP50" s="1452">
        <f>AP49-$B$61</f>
        <v>-6.1599999999999966</v>
      </c>
      <c r="AR50" s="1453"/>
      <c r="AX50" s="1452">
        <f>AX49-$B$61</f>
        <v>-14.659999999999997</v>
      </c>
      <c r="AZ50" s="1452">
        <f>AZ49-$B$61</f>
        <v>-14.559999999999988</v>
      </c>
      <c r="BC50" s="1452">
        <f>BC49-$B$61</f>
        <v>-12.059999999999988</v>
      </c>
      <c r="BE50" s="1452">
        <f>BE49-$B$61</f>
        <v>-11.759999999999991</v>
      </c>
      <c r="BG50" s="1452">
        <f>BG49-$B$61</f>
        <v>-11.86</v>
      </c>
      <c r="BH50" s="1452"/>
    </row>
    <row r="51" spans="2:69" x14ac:dyDescent="0.3">
      <c r="B51" s="1454" t="s">
        <v>228</v>
      </c>
      <c r="C51" s="1455">
        <v>43435</v>
      </c>
      <c r="D51" s="1456">
        <f>[1]MUNICIPIOS!E1127</f>
        <v>12</v>
      </c>
      <c r="M51" s="1457"/>
      <c r="O51" s="1458"/>
    </row>
    <row r="52" spans="2:69" x14ac:dyDescent="0.3">
      <c r="B52" s="1449" t="s">
        <v>229</v>
      </c>
      <c r="C52" s="1457">
        <v>43517</v>
      </c>
      <c r="D52" s="1432"/>
      <c r="E52" s="1432"/>
      <c r="F52" s="1476" t="s">
        <v>487</v>
      </c>
      <c r="G52" s="1432"/>
      <c r="H52" s="1432"/>
      <c r="I52" s="1432"/>
      <c r="J52" s="1432"/>
      <c r="K52" s="1432"/>
      <c r="M52" s="1457"/>
      <c r="O52" s="1432"/>
      <c r="P52" s="1432"/>
      <c r="Q52" s="1432"/>
      <c r="R52" s="1432"/>
      <c r="S52" s="1432"/>
      <c r="T52" s="1459">
        <f>ROUND((T49/$D$51)*12,0)</f>
        <v>659862</v>
      </c>
      <c r="U52" s="1432">
        <f>ROUND((U49/$D$51)*12,1)</f>
        <v>92.5</v>
      </c>
      <c r="V52" s="1432"/>
      <c r="W52" s="1432"/>
      <c r="X52" s="1432"/>
      <c r="Y52" s="1432"/>
      <c r="Z52" s="1432"/>
      <c r="AA52" s="1432"/>
      <c r="AB52" s="1432"/>
      <c r="AC52" s="1432"/>
      <c r="AD52" s="1432"/>
      <c r="AE52" s="1432"/>
      <c r="AF52" s="1432"/>
      <c r="AG52" s="1432"/>
      <c r="AH52" s="1432"/>
      <c r="AI52" s="1459">
        <f>ROUND((AI49/$D$51)*12,0)</f>
        <v>692174</v>
      </c>
      <c r="AJ52" s="1460">
        <f>ROUND((AJ49/$D$51)*12,1)</f>
        <v>95.2</v>
      </c>
      <c r="AK52" s="1460"/>
      <c r="AL52" s="1460"/>
      <c r="AM52" s="1432"/>
      <c r="AN52" s="1432">
        <f>ROUND((AN49/$D$51)*12,1)</f>
        <v>87.4</v>
      </c>
      <c r="AO52" s="1432"/>
      <c r="AP52" s="1432"/>
      <c r="AQ52" s="1432"/>
      <c r="AR52" s="1432"/>
      <c r="AS52" s="1432"/>
      <c r="AT52" s="1432"/>
      <c r="AU52" s="1432"/>
      <c r="AV52" s="1432">
        <f>ROUND((AV49/$D$51)*12,1)</f>
        <v>96.5</v>
      </c>
      <c r="BG52" s="1432">
        <f>ROUND((BG49/$D$51)*12,1)</f>
        <v>88.1</v>
      </c>
    </row>
    <row r="53" spans="2:69" x14ac:dyDescent="0.3">
      <c r="B53" s="1461" t="s">
        <v>486</v>
      </c>
      <c r="C53" s="1253"/>
      <c r="M53" s="1253"/>
      <c r="X53" s="1462"/>
    </row>
    <row r="54" spans="2:69" x14ac:dyDescent="0.3">
      <c r="B54" s="1254" t="s">
        <v>488</v>
      </c>
      <c r="C54" s="1463">
        <v>100</v>
      </c>
      <c r="D54" s="1464"/>
      <c r="M54" s="1463"/>
    </row>
    <row r="55" spans="2:69" x14ac:dyDescent="0.3">
      <c r="B55" s="1257" t="s">
        <v>489</v>
      </c>
      <c r="C55" s="1463">
        <v>95</v>
      </c>
      <c r="D55" s="1463">
        <v>99.99</v>
      </c>
      <c r="L55" s="1449" t="s">
        <v>475</v>
      </c>
      <c r="M55" s="1463"/>
    </row>
    <row r="56" spans="2:69" x14ac:dyDescent="0.3">
      <c r="B56" s="1258" t="s">
        <v>240</v>
      </c>
      <c r="C56" s="1463">
        <v>90</v>
      </c>
      <c r="D56" s="1463">
        <v>94.99</v>
      </c>
      <c r="L56" s="1477" t="s">
        <v>353</v>
      </c>
      <c r="M56" s="1478">
        <f>E49</f>
        <v>89.1</v>
      </c>
    </row>
    <row r="57" spans="2:69" x14ac:dyDescent="0.3">
      <c r="B57" s="1259" t="s">
        <v>241</v>
      </c>
      <c r="C57" s="1463">
        <v>80</v>
      </c>
      <c r="D57" s="1463">
        <v>89.99</v>
      </c>
      <c r="L57" s="1479" t="s">
        <v>226</v>
      </c>
      <c r="M57" s="1478">
        <f>K49</f>
        <v>87.4</v>
      </c>
    </row>
    <row r="58" spans="2:69" x14ac:dyDescent="0.3">
      <c r="B58" s="1260" t="s">
        <v>242</v>
      </c>
      <c r="C58" s="1463">
        <v>50</v>
      </c>
      <c r="D58" s="1463">
        <v>79.989999999999995</v>
      </c>
      <c r="L58" s="1277" t="s">
        <v>349</v>
      </c>
      <c r="M58" s="1478">
        <f>M49</f>
        <v>92.6</v>
      </c>
    </row>
    <row r="59" spans="2:69" x14ac:dyDescent="0.3">
      <c r="B59" s="1261" t="s">
        <v>464</v>
      </c>
      <c r="C59" s="1463">
        <v>0.1</v>
      </c>
      <c r="D59" s="1463">
        <v>49.99</v>
      </c>
      <c r="L59" s="1480" t="s">
        <v>350</v>
      </c>
      <c r="M59" s="1478">
        <f>O49</f>
        <v>92.5</v>
      </c>
    </row>
    <row r="60" spans="2:69" x14ac:dyDescent="0.3">
      <c r="B60" s="1465" t="s">
        <v>244</v>
      </c>
      <c r="C60" s="1466"/>
      <c r="D60" s="1467"/>
      <c r="L60" s="1481" t="s">
        <v>351</v>
      </c>
      <c r="M60" s="1478">
        <f>U49</f>
        <v>92.5</v>
      </c>
    </row>
    <row r="61" spans="2:69" x14ac:dyDescent="0.3">
      <c r="B61" s="1267">
        <v>99.96</v>
      </c>
      <c r="C61" s="1468"/>
      <c r="D61" s="1468"/>
      <c r="L61" s="1482" t="s">
        <v>456</v>
      </c>
      <c r="M61" s="1478">
        <f>AG49</f>
        <v>93.5</v>
      </c>
    </row>
    <row r="62" spans="2:69" x14ac:dyDescent="0.3">
      <c r="B62" s="1469">
        <v>95</v>
      </c>
      <c r="L62" s="1483" t="s">
        <v>457</v>
      </c>
      <c r="M62" s="1478">
        <f>AJ49</f>
        <v>95.2</v>
      </c>
    </row>
    <row r="63" spans="2:69" x14ac:dyDescent="0.3">
      <c r="B63" s="1659"/>
      <c r="C63" s="1660"/>
      <c r="L63" s="1484" t="s">
        <v>459</v>
      </c>
      <c r="M63" s="1478">
        <f>AP49</f>
        <v>93.8</v>
      </c>
      <c r="T63" s="1660"/>
      <c r="U63" s="1660"/>
    </row>
    <row r="64" spans="2:69" x14ac:dyDescent="0.3">
      <c r="B64" s="1660"/>
      <c r="C64" s="1661"/>
      <c r="L64" s="1485" t="s">
        <v>458</v>
      </c>
      <c r="M64" s="1478">
        <f>AV49</f>
        <v>96.5</v>
      </c>
      <c r="T64" s="1661"/>
      <c r="U64" s="1470"/>
      <c r="AH64" s="1661"/>
      <c r="AI64" s="1661"/>
      <c r="AJ64" s="1679"/>
      <c r="AK64" s="1470"/>
      <c r="AL64" s="1470"/>
    </row>
    <row r="65" spans="1:88" x14ac:dyDescent="0.3">
      <c r="B65" s="1660"/>
      <c r="C65" s="1661"/>
      <c r="L65" s="1486" t="s">
        <v>460</v>
      </c>
      <c r="M65" s="1478">
        <f>BG49</f>
        <v>88.1</v>
      </c>
      <c r="T65" s="1661"/>
      <c r="U65" s="1470"/>
      <c r="AH65" s="1661"/>
      <c r="AI65" s="1661"/>
      <c r="AJ65" s="1679"/>
      <c r="AK65" s="1470"/>
      <c r="AL65" s="1470"/>
    </row>
    <row r="66" spans="1:88" ht="27" x14ac:dyDescent="0.3">
      <c r="B66" s="1660"/>
      <c r="C66" s="1661"/>
      <c r="L66" s="1487" t="s">
        <v>477</v>
      </c>
      <c r="M66" s="1478">
        <f>B62</f>
        <v>95</v>
      </c>
      <c r="T66" s="1661"/>
      <c r="U66" s="1470"/>
      <c r="AH66" s="1661"/>
      <c r="AI66" s="1661"/>
      <c r="AJ66" s="1679"/>
      <c r="AK66" s="1470"/>
      <c r="AL66" s="1470"/>
    </row>
    <row r="67" spans="1:88" x14ac:dyDescent="0.3">
      <c r="B67" s="1660"/>
      <c r="C67" s="1661"/>
      <c r="T67" s="1661"/>
      <c r="U67" s="1470"/>
      <c r="AH67" s="1661"/>
      <c r="AI67" s="1661"/>
      <c r="AJ67" s="1679"/>
      <c r="AK67" s="1470"/>
      <c r="AL67" s="1470"/>
    </row>
    <row r="68" spans="1:88" x14ac:dyDescent="0.3">
      <c r="B68" s="1660"/>
      <c r="C68" s="1660"/>
      <c r="T68" s="1660"/>
      <c r="U68" s="1660"/>
      <c r="AH68" s="1660"/>
      <c r="AI68" s="1660"/>
      <c r="AJ68" s="1660"/>
    </row>
    <row r="69" spans="1:88" x14ac:dyDescent="0.3">
      <c r="B69" s="1660"/>
      <c r="C69" s="1660"/>
      <c r="T69" s="1660"/>
      <c r="U69" s="1660"/>
    </row>
    <row r="70" spans="1:88" x14ac:dyDescent="0.3">
      <c r="A70" s="1471"/>
      <c r="B70" s="1471"/>
      <c r="C70" s="1471"/>
      <c r="D70" s="1668"/>
      <c r="E70" s="1669"/>
      <c r="F70" s="1668"/>
      <c r="G70" s="1668"/>
      <c r="H70" s="1668"/>
      <c r="I70" s="1668"/>
      <c r="J70" s="1668"/>
      <c r="K70" s="1669"/>
      <c r="L70" s="1668"/>
      <c r="M70" s="1669"/>
      <c r="N70" s="1668"/>
      <c r="O70" s="1669"/>
      <c r="P70" s="1668"/>
      <c r="Q70" s="1668"/>
      <c r="R70" s="1668"/>
      <c r="S70" s="1668"/>
      <c r="T70" s="1668"/>
      <c r="U70" s="1670"/>
      <c r="V70" s="1668"/>
      <c r="W70" s="1668"/>
      <c r="X70" s="1668"/>
      <c r="Y70" s="1670"/>
      <c r="Z70" s="1668"/>
      <c r="AA70" s="1668"/>
      <c r="AB70" s="1668"/>
      <c r="AC70" s="1668"/>
      <c r="AD70" s="1668"/>
      <c r="AE70" s="1668"/>
      <c r="AF70" s="1668"/>
      <c r="AG70" s="1670"/>
      <c r="AH70" s="1668"/>
      <c r="AI70" s="1668"/>
      <c r="AJ70" s="1670"/>
      <c r="AK70" s="1668"/>
      <c r="AL70" s="1668"/>
      <c r="AM70" s="1668"/>
      <c r="AN70" s="1668"/>
      <c r="AO70" s="1668"/>
      <c r="AP70" s="1668"/>
      <c r="AQ70" s="1668"/>
      <c r="AR70" s="1670"/>
      <c r="AS70" s="1668"/>
      <c r="AT70" s="1668"/>
      <c r="AU70" s="1668"/>
      <c r="AV70" s="1670"/>
      <c r="AW70" s="1668"/>
      <c r="AX70" s="1670"/>
      <c r="AY70" s="1668"/>
      <c r="AZ70" s="1670"/>
      <c r="BA70" s="1668"/>
      <c r="BB70" s="1668"/>
      <c r="BC70" s="1668"/>
      <c r="BD70" s="1668"/>
      <c r="BE70" s="1670"/>
      <c r="BF70" s="1668"/>
      <c r="BG70" s="1670"/>
      <c r="BH70" s="1668"/>
      <c r="BI70" s="1668"/>
      <c r="BJ70" s="1668"/>
      <c r="BK70" s="1668"/>
      <c r="BL70" s="1668"/>
      <c r="BM70" s="1668"/>
      <c r="BN70" s="1668"/>
      <c r="BO70" s="1668"/>
      <c r="BP70" s="1668"/>
      <c r="BQ70" s="1668"/>
      <c r="BR70" s="1671"/>
      <c r="BS70" s="1671"/>
      <c r="BT70" s="1671"/>
      <c r="BU70" s="1671"/>
      <c r="BV70" s="1671"/>
      <c r="BW70" s="1671"/>
      <c r="BX70" s="1671"/>
      <c r="BY70" s="1671"/>
      <c r="BZ70" s="1671"/>
      <c r="CA70" s="1671"/>
      <c r="CB70" s="1671"/>
      <c r="CC70" s="1671"/>
      <c r="CD70" s="1671"/>
      <c r="CE70" s="1671"/>
      <c r="CF70" s="1671"/>
      <c r="CG70" s="1671"/>
      <c r="CH70" s="1671"/>
      <c r="CI70" s="1671"/>
      <c r="CJ70" s="1671"/>
    </row>
    <row r="71" spans="1:88" x14ac:dyDescent="0.3">
      <c r="A71" s="1471"/>
      <c r="B71" s="1471"/>
      <c r="C71" s="1472"/>
      <c r="D71" s="1672"/>
      <c r="E71" s="1673"/>
      <c r="F71" s="1674"/>
      <c r="G71" s="1673"/>
      <c r="H71" s="1674"/>
      <c r="I71" s="1673"/>
      <c r="J71" s="1674"/>
      <c r="K71" s="1673"/>
      <c r="L71" s="1674"/>
      <c r="M71" s="1673"/>
      <c r="N71" s="1674"/>
      <c r="O71" s="1673"/>
      <c r="P71" s="1674"/>
      <c r="Q71" s="1673"/>
      <c r="R71" s="1674"/>
      <c r="S71" s="1673"/>
      <c r="T71" s="1674"/>
      <c r="U71" s="1673"/>
      <c r="V71" s="1674"/>
      <c r="W71" s="1673"/>
      <c r="X71" s="1674"/>
      <c r="Y71" s="1673"/>
      <c r="Z71" s="1674"/>
      <c r="AA71" s="1673"/>
      <c r="AB71" s="1674"/>
      <c r="AC71" s="1673"/>
      <c r="AD71" s="1674"/>
      <c r="AE71" s="1673"/>
      <c r="AF71" s="1674"/>
      <c r="AG71" s="1673"/>
      <c r="AH71" s="1674"/>
      <c r="AI71" s="1674"/>
      <c r="AJ71" s="1673"/>
      <c r="AK71" s="1674"/>
      <c r="AL71" s="1673"/>
      <c r="AM71" s="1674"/>
      <c r="AN71" s="1673"/>
      <c r="AO71" s="1674"/>
      <c r="AP71" s="1673"/>
      <c r="AQ71" s="1674"/>
      <c r="AR71" s="1673"/>
      <c r="AS71" s="1674"/>
      <c r="AT71" s="1674"/>
      <c r="AU71" s="1674"/>
      <c r="AV71" s="1673"/>
      <c r="AW71" s="1674"/>
      <c r="AX71" s="1673"/>
      <c r="AY71" s="1674"/>
      <c r="AZ71" s="1673"/>
      <c r="BA71" s="1674"/>
      <c r="BB71" s="1674"/>
      <c r="BC71" s="1675"/>
      <c r="BD71" s="1674"/>
      <c r="BE71" s="1675"/>
      <c r="BF71" s="1674"/>
      <c r="BG71" s="1675"/>
      <c r="BH71" s="1674"/>
      <c r="BI71" s="1674"/>
      <c r="BJ71" s="1674"/>
      <c r="BK71" s="1674"/>
      <c r="BL71" s="1676"/>
      <c r="BM71" s="1674"/>
      <c r="BN71" s="1674"/>
      <c r="BO71" s="1674"/>
      <c r="BP71" s="1674"/>
      <c r="BQ71" s="1677"/>
      <c r="BR71" s="1671"/>
      <c r="BS71" s="1671"/>
      <c r="BT71" s="1671"/>
      <c r="BU71" s="1671"/>
      <c r="BV71" s="1671"/>
      <c r="BW71" s="1671"/>
      <c r="BX71" s="1671"/>
      <c r="BY71" s="1671"/>
      <c r="BZ71" s="1671"/>
      <c r="CA71" s="1671"/>
      <c r="CB71" s="1671"/>
      <c r="CC71" s="1671"/>
      <c r="CD71" s="1671"/>
      <c r="CE71" s="1671"/>
      <c r="CF71" s="1671"/>
      <c r="CG71" s="1671"/>
      <c r="CH71" s="1671"/>
      <c r="CI71" s="1671"/>
      <c r="CJ71" s="1671"/>
    </row>
    <row r="72" spans="1:88" x14ac:dyDescent="0.3">
      <c r="A72" s="1471"/>
      <c r="B72" s="1659"/>
      <c r="C72" s="1473"/>
      <c r="D72" s="1471"/>
      <c r="E72" s="1471"/>
      <c r="F72" s="1471"/>
      <c r="G72" s="1471"/>
      <c r="H72" s="1471"/>
      <c r="I72" s="1471"/>
      <c r="J72" s="1471"/>
      <c r="K72" s="1471"/>
      <c r="L72" s="1471"/>
      <c r="M72" s="1471"/>
      <c r="N72" s="1471"/>
      <c r="O72" s="1471"/>
      <c r="P72" s="1471"/>
      <c r="Q72" s="1471"/>
      <c r="R72" s="1471"/>
      <c r="S72" s="1471"/>
      <c r="T72" s="1473"/>
      <c r="U72" s="1474"/>
      <c r="V72" s="1471"/>
      <c r="W72" s="1471"/>
      <c r="X72" s="1471"/>
      <c r="Y72" s="1471"/>
      <c r="Z72" s="1471"/>
      <c r="AA72" s="1471"/>
      <c r="AB72" s="1471"/>
      <c r="AC72" s="1471"/>
      <c r="AD72" s="1471"/>
      <c r="AE72" s="1471"/>
      <c r="AF72" s="1471"/>
      <c r="AG72" s="1471"/>
      <c r="AH72" s="1471">
        <f>SUBTOTAL(9,AH11:AH47)</f>
        <v>727193</v>
      </c>
      <c r="AI72" s="1471">
        <f>SUBTOTAL(9,AI11:AI47)</f>
        <v>692174</v>
      </c>
      <c r="AJ72" s="1475">
        <f>ROUND(AI72/$AH72*100,1)</f>
        <v>95.2</v>
      </c>
      <c r="AK72" s="1475"/>
      <c r="AL72" s="1475"/>
      <c r="AM72" s="1471"/>
      <c r="AN72" s="1471"/>
      <c r="AO72" s="1471"/>
      <c r="AP72" s="1471"/>
      <c r="AQ72" s="1471"/>
      <c r="AR72" s="1471"/>
      <c r="AS72" s="1471"/>
      <c r="AT72" s="1471"/>
      <c r="AU72" s="1471"/>
      <c r="AV72" s="1471"/>
      <c r="AW72" s="1471"/>
      <c r="AX72" s="1471"/>
      <c r="AY72" s="1471"/>
      <c r="AZ72" s="1471"/>
      <c r="BA72" s="1471"/>
      <c r="BB72" s="1471"/>
      <c r="BC72" s="1471"/>
      <c r="BD72" s="1471"/>
      <c r="BE72" s="1471"/>
      <c r="BF72" s="1471"/>
      <c r="BG72" s="1471"/>
      <c r="BH72" s="1471"/>
      <c r="BI72" s="1471"/>
      <c r="BJ72" s="1471"/>
      <c r="BK72" s="1471"/>
      <c r="BL72" s="1471"/>
      <c r="BM72" s="1471"/>
      <c r="BN72" s="1471"/>
      <c r="BO72" s="1471"/>
      <c r="BP72" s="1471"/>
      <c r="BQ72" s="1471"/>
    </row>
    <row r="73" spans="1:88" x14ac:dyDescent="0.3">
      <c r="B73" s="1662"/>
      <c r="C73" s="1663"/>
      <c r="T73" s="1660"/>
      <c r="U73" s="1470"/>
      <c r="X73" s="1476"/>
    </row>
    <row r="74" spans="1:88" x14ac:dyDescent="0.3">
      <c r="B74" s="1662"/>
      <c r="C74" s="1663"/>
      <c r="T74" s="1660"/>
      <c r="U74" s="1470"/>
    </row>
    <row r="75" spans="1:88" x14ac:dyDescent="0.3">
      <c r="B75" s="1662"/>
      <c r="C75" s="1663"/>
      <c r="T75" s="1660"/>
      <c r="U75" s="1470"/>
    </row>
    <row r="76" spans="1:88" x14ac:dyDescent="0.3">
      <c r="B76" s="1662"/>
      <c r="C76" s="1663"/>
      <c r="T76" s="1660"/>
      <c r="U76" s="1470"/>
      <c r="Z76" s="1671"/>
    </row>
    <row r="77" spans="1:88" x14ac:dyDescent="0.3">
      <c r="B77" s="1662"/>
      <c r="C77" s="1663"/>
      <c r="T77" s="1660"/>
      <c r="U77" s="1470"/>
      <c r="Z77" s="1678"/>
    </row>
    <row r="78" spans="1:88" x14ac:dyDescent="0.3">
      <c r="B78" s="1660"/>
      <c r="C78" s="1664"/>
      <c r="T78" s="1664"/>
      <c r="U78" s="1470"/>
      <c r="Z78" s="1678"/>
    </row>
    <row r="79" spans="1:88" x14ac:dyDescent="0.3">
      <c r="B79" s="1659"/>
      <c r="C79" s="1660"/>
      <c r="T79" s="1660"/>
      <c r="U79" s="1660"/>
      <c r="Z79" s="1678"/>
    </row>
    <row r="80" spans="1:88" x14ac:dyDescent="0.3">
      <c r="B80" s="1662"/>
      <c r="C80" s="1663"/>
      <c r="T80" s="1666"/>
      <c r="U80" s="1470"/>
      <c r="Z80" s="1678"/>
    </row>
    <row r="81" spans="2:26" x14ac:dyDescent="0.3">
      <c r="B81" s="1662"/>
      <c r="C81" s="1663"/>
      <c r="T81" s="1666"/>
      <c r="U81" s="1470"/>
      <c r="Z81" s="1678"/>
    </row>
    <row r="82" spans="2:26" x14ac:dyDescent="0.3">
      <c r="B82" s="1662"/>
      <c r="C82" s="1663"/>
      <c r="T82" s="1666"/>
      <c r="U82" s="1470"/>
      <c r="Z82" s="1678"/>
    </row>
    <row r="83" spans="2:26" x14ac:dyDescent="0.3">
      <c r="B83" s="1662"/>
      <c r="C83" s="1663"/>
      <c r="T83" s="1666"/>
      <c r="U83" s="1470"/>
      <c r="Z83" s="1678"/>
    </row>
    <row r="84" spans="2:26" x14ac:dyDescent="0.3">
      <c r="B84" s="1660"/>
      <c r="C84" s="1665"/>
      <c r="T84" s="1664"/>
      <c r="U84" s="1470"/>
      <c r="Z84" s="1678"/>
    </row>
    <row r="85" spans="2:26" x14ac:dyDescent="0.3">
      <c r="B85" s="1660"/>
      <c r="C85" s="1660"/>
      <c r="T85" s="1660"/>
      <c r="U85" s="1660"/>
      <c r="Z85" s="1678"/>
    </row>
    <row r="86" spans="2:26" x14ac:dyDescent="0.3">
      <c r="B86" s="1659"/>
      <c r="C86" s="1660"/>
      <c r="T86" s="1660"/>
      <c r="U86" s="1660"/>
      <c r="Z86" s="1678"/>
    </row>
    <row r="87" spans="2:26" x14ac:dyDescent="0.3">
      <c r="B87" s="1662"/>
      <c r="C87" s="1663"/>
      <c r="T87" s="1663"/>
      <c r="U87" s="1470"/>
      <c r="Z87" s="1678"/>
    </row>
    <row r="88" spans="2:26" x14ac:dyDescent="0.3">
      <c r="B88" s="1662"/>
      <c r="C88" s="1663"/>
      <c r="T88" s="1663"/>
      <c r="U88" s="1470"/>
      <c r="Z88" s="1671"/>
    </row>
    <row r="89" spans="2:26" x14ac:dyDescent="0.3">
      <c r="B89" s="1662"/>
      <c r="C89" s="1663"/>
      <c r="T89" s="1663"/>
      <c r="U89" s="1470"/>
      <c r="Z89" s="1671"/>
    </row>
    <row r="90" spans="2:26" x14ac:dyDescent="0.3">
      <c r="B90" s="1662"/>
      <c r="C90" s="1663"/>
      <c r="T90" s="1663"/>
      <c r="U90" s="1470"/>
    </row>
    <row r="91" spans="2:26" x14ac:dyDescent="0.3">
      <c r="B91" s="1662"/>
      <c r="C91" s="1663"/>
      <c r="T91" s="1663"/>
      <c r="U91" s="1470"/>
    </row>
    <row r="92" spans="2:26" x14ac:dyDescent="0.3">
      <c r="B92" s="1662"/>
      <c r="C92" s="1663"/>
      <c r="T92" s="1663"/>
      <c r="U92" s="1470"/>
    </row>
    <row r="93" spans="2:26" x14ac:dyDescent="0.3">
      <c r="B93" s="1660"/>
      <c r="C93" s="1664"/>
      <c r="T93" s="1664"/>
      <c r="U93" s="1667"/>
    </row>
    <row r="94" spans="2:26" x14ac:dyDescent="0.3">
      <c r="B94" s="1660"/>
      <c r="C94" s="1660"/>
      <c r="T94" s="1660"/>
      <c r="U94" s="1660"/>
    </row>
    <row r="95" spans="2:26" x14ac:dyDescent="0.3">
      <c r="T95" s="1660"/>
      <c r="U95" s="1660"/>
    </row>
    <row r="96" spans="2:26" x14ac:dyDescent="0.3">
      <c r="T96" s="1660"/>
      <c r="U96" s="1660"/>
    </row>
    <row r="97" spans="20:21" x14ac:dyDescent="0.3">
      <c r="T97" s="1660"/>
      <c r="U97" s="1660"/>
    </row>
    <row r="98" spans="20:21" x14ac:dyDescent="0.3">
      <c r="T98" s="1660"/>
      <c r="U98" s="1660"/>
    </row>
    <row r="99" spans="20:21" x14ac:dyDescent="0.3">
      <c r="T99" s="1660"/>
      <c r="U99" s="1660"/>
    </row>
    <row r="100" spans="20:21" x14ac:dyDescent="0.3">
      <c r="T100" s="1660"/>
      <c r="U100" s="1660"/>
    </row>
    <row r="101" spans="20:21" x14ac:dyDescent="0.3">
      <c r="T101" s="1660"/>
      <c r="U101" s="1660"/>
    </row>
    <row r="102" spans="20:21" x14ac:dyDescent="0.3">
      <c r="T102" s="1660"/>
      <c r="U102" s="1660"/>
    </row>
    <row r="103" spans="20:21" x14ac:dyDescent="0.3">
      <c r="T103" s="1660"/>
      <c r="U103" s="1660"/>
    </row>
  </sheetData>
  <mergeCells count="28">
    <mergeCell ref="N9:O9"/>
    <mergeCell ref="D9:E9"/>
    <mergeCell ref="F9:G9"/>
    <mergeCell ref="H9:I9"/>
    <mergeCell ref="J9:K9"/>
    <mergeCell ref="L9:M9"/>
    <mergeCell ref="AM9:AN9"/>
    <mergeCell ref="P9:Q9"/>
    <mergeCell ref="R9:S9"/>
    <mergeCell ref="T9:U9"/>
    <mergeCell ref="V9:W9"/>
    <mergeCell ref="X9:Y9"/>
    <mergeCell ref="Z9:AA9"/>
    <mergeCell ref="AB9:AC9"/>
    <mergeCell ref="AD9:AE9"/>
    <mergeCell ref="AF9:AG9"/>
    <mergeCell ref="AI9:AJ9"/>
    <mergeCell ref="AK9:AL9"/>
    <mergeCell ref="BD9:BE9"/>
    <mergeCell ref="BF9:BG9"/>
    <mergeCell ref="BK9:BL9"/>
    <mergeCell ref="BM9:BP9"/>
    <mergeCell ref="AO9:AP9"/>
    <mergeCell ref="AQ9:AR9"/>
    <mergeCell ref="AU9:AV9"/>
    <mergeCell ref="AW9:AX9"/>
    <mergeCell ref="AY9:AZ9"/>
    <mergeCell ref="BB9:BC9"/>
  </mergeCells>
  <conditionalFormatting sqref="K11:K47 M11:M47 O11:O47 Q11:Q47 S11:S47 W11:W47 Y11:Y47 AA11:AA47 AC11:AC47 AE11:AE47 AG11:AG47 AP11:AP47 AV11:AV47 AX11:AX47 AZ11:AZ47 BC11:BC47 BE11:BE47 AJ11:AJ47 AL11:AL47 BG11:BG47 E11:E47 E49 BG49 AL49 AJ49 BE49 BC49 AZ49 AX49 AV49 AP49 AG49 AE49 AC49 AA49 Y49 W49 U49 S49 Q49 O49 M49 K49 U11:U47 G49 I49">
    <cfRule type="cellIs" dxfId="353" priority="150" stopIfTrue="1" operator="between">
      <formula>$C$59</formula>
      <formula>$D$59</formula>
    </cfRule>
    <cfRule type="cellIs" dxfId="352" priority="151" stopIfTrue="1" operator="between">
      <formula>$C$58</formula>
      <formula>$D$58</formula>
    </cfRule>
    <cfRule type="cellIs" dxfId="351" priority="152" stopIfTrue="1" operator="between">
      <formula>$C$57</formula>
      <formula>$D$57</formula>
    </cfRule>
    <cfRule type="cellIs" dxfId="350" priority="153" stopIfTrue="1" operator="between">
      <formula>$C$56</formula>
      <formula>$D$56</formula>
    </cfRule>
    <cfRule type="cellIs" dxfId="349" priority="154" stopIfTrue="1" operator="between">
      <formula>$C$55</formula>
      <formula>$D$55</formula>
    </cfRule>
    <cfRule type="cellIs" dxfId="348" priority="155" stopIfTrue="1" operator="greaterThanOrEqual">
      <formula>$C$54</formula>
    </cfRule>
  </conditionalFormatting>
  <conditionalFormatting sqref="E71 G71 I71">
    <cfRule type="cellIs" dxfId="347" priority="144" stopIfTrue="1" operator="between">
      <formula>$C$59</formula>
      <formula>$D$59</formula>
    </cfRule>
    <cfRule type="cellIs" dxfId="346" priority="145" stopIfTrue="1" operator="between">
      <formula>$C$58</formula>
      <formula>$D$58</formula>
    </cfRule>
    <cfRule type="cellIs" dxfId="345" priority="146" stopIfTrue="1" operator="between">
      <formula>$C$57</formula>
      <formula>$D$57</formula>
    </cfRule>
    <cfRule type="cellIs" dxfId="344" priority="147" stopIfTrue="1" operator="between">
      <formula>$C$56</formula>
      <formula>$D$56</formula>
    </cfRule>
    <cfRule type="cellIs" dxfId="343" priority="148" stopIfTrue="1" operator="between">
      <formula>$C$55</formula>
      <formula>$D$55</formula>
    </cfRule>
    <cfRule type="cellIs" dxfId="342" priority="149" stopIfTrue="1" operator="greaterThan">
      <formula>$C$54</formula>
    </cfRule>
  </conditionalFormatting>
  <conditionalFormatting sqref="K71">
    <cfRule type="cellIs" dxfId="341" priority="138" stopIfTrue="1" operator="between">
      <formula>$C$59</formula>
      <formula>$D$59</formula>
    </cfRule>
    <cfRule type="cellIs" dxfId="340" priority="139" stopIfTrue="1" operator="between">
      <formula>$C$58</formula>
      <formula>$D$58</formula>
    </cfRule>
    <cfRule type="cellIs" dxfId="339" priority="140" stopIfTrue="1" operator="between">
      <formula>$C$57</formula>
      <formula>$D$57</formula>
    </cfRule>
    <cfRule type="cellIs" dxfId="338" priority="141" stopIfTrue="1" operator="between">
      <formula>$C$56</formula>
      <formula>$D$56</formula>
    </cfRule>
    <cfRule type="cellIs" dxfId="337" priority="142" stopIfTrue="1" operator="between">
      <formula>$C$55</formula>
      <formula>$D$55</formula>
    </cfRule>
    <cfRule type="cellIs" dxfId="336" priority="143" stopIfTrue="1" operator="greaterThan">
      <formula>$C$54</formula>
    </cfRule>
  </conditionalFormatting>
  <conditionalFormatting sqref="M71">
    <cfRule type="cellIs" dxfId="335" priority="132" stopIfTrue="1" operator="between">
      <formula>$C$59</formula>
      <formula>$D$59</formula>
    </cfRule>
    <cfRule type="cellIs" dxfId="334" priority="133" stopIfTrue="1" operator="between">
      <formula>$C$58</formula>
      <formula>$D$58</formula>
    </cfRule>
    <cfRule type="cellIs" dxfId="333" priority="134" stopIfTrue="1" operator="between">
      <formula>$C$57</formula>
      <formula>$D$57</formula>
    </cfRule>
    <cfRule type="cellIs" dxfId="332" priority="135" stopIfTrue="1" operator="between">
      <formula>$C$56</formula>
      <formula>$D$56</formula>
    </cfRule>
    <cfRule type="cellIs" dxfId="331" priority="136" stopIfTrue="1" operator="between">
      <formula>$C$55</formula>
      <formula>$D$55</formula>
    </cfRule>
    <cfRule type="cellIs" dxfId="330" priority="137" stopIfTrue="1" operator="greaterThan">
      <formula>$C$54</formula>
    </cfRule>
  </conditionalFormatting>
  <conditionalFormatting sqref="O71">
    <cfRule type="cellIs" dxfId="329" priority="126" stopIfTrue="1" operator="between">
      <formula>$C$59</formula>
      <formula>$D$59</formula>
    </cfRule>
    <cfRule type="cellIs" dxfId="328" priority="127" stopIfTrue="1" operator="between">
      <formula>$C$58</formula>
      <formula>$D$58</formula>
    </cfRule>
    <cfRule type="cellIs" dxfId="327" priority="128" stopIfTrue="1" operator="between">
      <formula>$C$57</formula>
      <formula>$D$57</formula>
    </cfRule>
    <cfRule type="cellIs" dxfId="326" priority="129" stopIfTrue="1" operator="between">
      <formula>$C$56</formula>
      <formula>$D$56</formula>
    </cfRule>
    <cfRule type="cellIs" dxfId="325" priority="130" stopIfTrue="1" operator="between">
      <formula>$C$55</formula>
      <formula>$D$55</formula>
    </cfRule>
    <cfRule type="cellIs" dxfId="324" priority="131" stopIfTrue="1" operator="greaterThan">
      <formula>$C$54</formula>
    </cfRule>
  </conditionalFormatting>
  <conditionalFormatting sqref="Q71">
    <cfRule type="cellIs" dxfId="323" priority="120" stopIfTrue="1" operator="between">
      <formula>$C$59</formula>
      <formula>$D$59</formula>
    </cfRule>
    <cfRule type="cellIs" dxfId="322" priority="121" stopIfTrue="1" operator="between">
      <formula>$C$58</formula>
      <formula>$D$58</formula>
    </cfRule>
    <cfRule type="cellIs" dxfId="321" priority="122" stopIfTrue="1" operator="between">
      <formula>$C$57</formula>
      <formula>$D$57</formula>
    </cfRule>
    <cfRule type="cellIs" dxfId="320" priority="123" stopIfTrue="1" operator="between">
      <formula>$C$56</formula>
      <formula>$D$56</formula>
    </cfRule>
    <cfRule type="cellIs" dxfId="319" priority="124" stopIfTrue="1" operator="between">
      <formula>$C$55</formula>
      <formula>$D$55</formula>
    </cfRule>
    <cfRule type="cellIs" dxfId="318" priority="125" stopIfTrue="1" operator="greaterThan">
      <formula>$C$54</formula>
    </cfRule>
  </conditionalFormatting>
  <conditionalFormatting sqref="S71">
    <cfRule type="cellIs" dxfId="317" priority="114" stopIfTrue="1" operator="between">
      <formula>$C$59</formula>
      <formula>$D$59</formula>
    </cfRule>
    <cfRule type="cellIs" dxfId="316" priority="115" stopIfTrue="1" operator="between">
      <formula>$C$58</formula>
      <formula>$D$58</formula>
    </cfRule>
    <cfRule type="cellIs" dxfId="315" priority="116" stopIfTrue="1" operator="between">
      <formula>$C$57</formula>
      <formula>$D$57</formula>
    </cfRule>
    <cfRule type="cellIs" dxfId="314" priority="117" stopIfTrue="1" operator="between">
      <formula>$C$56</formula>
      <formula>$D$56</formula>
    </cfRule>
    <cfRule type="cellIs" dxfId="313" priority="118" stopIfTrue="1" operator="between">
      <formula>$C$55</formula>
      <formula>$D$55</formula>
    </cfRule>
    <cfRule type="cellIs" dxfId="312" priority="119" stopIfTrue="1" operator="greaterThan">
      <formula>$C$54</formula>
    </cfRule>
  </conditionalFormatting>
  <conditionalFormatting sqref="U71">
    <cfRule type="cellIs" dxfId="311" priority="108" stopIfTrue="1" operator="between">
      <formula>$C$59</formula>
      <formula>$D$59</formula>
    </cfRule>
    <cfRule type="cellIs" dxfId="310" priority="109" stopIfTrue="1" operator="between">
      <formula>$C$58</formula>
      <formula>$D$58</formula>
    </cfRule>
    <cfRule type="cellIs" dxfId="309" priority="110" stopIfTrue="1" operator="between">
      <formula>$C$57</formula>
      <formula>$D$57</formula>
    </cfRule>
    <cfRule type="cellIs" dxfId="308" priority="111" stopIfTrue="1" operator="between">
      <formula>$C$56</formula>
      <formula>$D$56</formula>
    </cfRule>
    <cfRule type="cellIs" dxfId="307" priority="112" stopIfTrue="1" operator="between">
      <formula>$C$55</formula>
      <formula>$D$55</formula>
    </cfRule>
    <cfRule type="cellIs" dxfId="306" priority="113" stopIfTrue="1" operator="greaterThan">
      <formula>$C$54</formula>
    </cfRule>
  </conditionalFormatting>
  <conditionalFormatting sqref="W71">
    <cfRule type="cellIs" dxfId="305" priority="102" stopIfTrue="1" operator="between">
      <formula>$C$59</formula>
      <formula>$D$59</formula>
    </cfRule>
    <cfRule type="cellIs" dxfId="304" priority="103" stopIfTrue="1" operator="between">
      <formula>$C$58</formula>
      <formula>$D$58</formula>
    </cfRule>
    <cfRule type="cellIs" dxfId="303" priority="104" stopIfTrue="1" operator="between">
      <formula>$C$57</formula>
      <formula>$D$57</formula>
    </cfRule>
    <cfRule type="cellIs" dxfId="302" priority="105" stopIfTrue="1" operator="between">
      <formula>$C$56</formula>
      <formula>$D$56</formula>
    </cfRule>
    <cfRule type="cellIs" dxfId="301" priority="106" stopIfTrue="1" operator="between">
      <formula>$C$55</formula>
      <formula>$D$55</formula>
    </cfRule>
    <cfRule type="cellIs" dxfId="300" priority="107" stopIfTrue="1" operator="greaterThan">
      <formula>$C$54</formula>
    </cfRule>
  </conditionalFormatting>
  <conditionalFormatting sqref="Y71">
    <cfRule type="cellIs" dxfId="299" priority="96" stopIfTrue="1" operator="between">
      <formula>$C$59</formula>
      <formula>$D$59</formula>
    </cfRule>
    <cfRule type="cellIs" dxfId="298" priority="97" stopIfTrue="1" operator="between">
      <formula>$C$58</formula>
      <formula>$D$58</formula>
    </cfRule>
    <cfRule type="cellIs" dxfId="297" priority="98" stopIfTrue="1" operator="between">
      <formula>$C$57</formula>
      <formula>$D$57</formula>
    </cfRule>
    <cfRule type="cellIs" dxfId="296" priority="99" stopIfTrue="1" operator="between">
      <formula>$C$56</formula>
      <formula>$D$56</formula>
    </cfRule>
    <cfRule type="cellIs" dxfId="295" priority="100" stopIfTrue="1" operator="between">
      <formula>$C$55</formula>
      <formula>$D$55</formula>
    </cfRule>
    <cfRule type="cellIs" dxfId="294" priority="101" stopIfTrue="1" operator="greaterThan">
      <formula>$C$54</formula>
    </cfRule>
  </conditionalFormatting>
  <conditionalFormatting sqref="AA71">
    <cfRule type="cellIs" dxfId="293" priority="90" stopIfTrue="1" operator="between">
      <formula>$C$59</formula>
      <formula>$D$59</formula>
    </cfRule>
    <cfRule type="cellIs" dxfId="292" priority="91" stopIfTrue="1" operator="between">
      <formula>$C$58</formula>
      <formula>$D$58</formula>
    </cfRule>
    <cfRule type="cellIs" dxfId="291" priority="92" stopIfTrue="1" operator="between">
      <formula>$C$57</formula>
      <formula>$D$57</formula>
    </cfRule>
    <cfRule type="cellIs" dxfId="290" priority="93" stopIfTrue="1" operator="between">
      <formula>$C$56</formula>
      <formula>$D$56</formula>
    </cfRule>
    <cfRule type="cellIs" dxfId="289" priority="94" stopIfTrue="1" operator="between">
      <formula>$C$55</formula>
      <formula>$D$55</formula>
    </cfRule>
    <cfRule type="cellIs" dxfId="288" priority="95" stopIfTrue="1" operator="greaterThan">
      <formula>$C$54</formula>
    </cfRule>
  </conditionalFormatting>
  <conditionalFormatting sqref="AC71">
    <cfRule type="cellIs" dxfId="287" priority="84" stopIfTrue="1" operator="between">
      <formula>$C$59</formula>
      <formula>$D$59</formula>
    </cfRule>
    <cfRule type="cellIs" dxfId="286" priority="85" stopIfTrue="1" operator="between">
      <formula>$C$58</formula>
      <formula>$D$58</formula>
    </cfRule>
    <cfRule type="cellIs" dxfId="285" priority="86" stopIfTrue="1" operator="between">
      <formula>$C$57</formula>
      <formula>$D$57</formula>
    </cfRule>
    <cfRule type="cellIs" dxfId="284" priority="87" stopIfTrue="1" operator="between">
      <formula>$C$56</formula>
      <formula>$D$56</formula>
    </cfRule>
    <cfRule type="cellIs" dxfId="283" priority="88" stopIfTrue="1" operator="between">
      <formula>$C$55</formula>
      <formula>$D$55</formula>
    </cfRule>
    <cfRule type="cellIs" dxfId="282" priority="89" stopIfTrue="1" operator="greaterThan">
      <formula>$C$54</formula>
    </cfRule>
  </conditionalFormatting>
  <conditionalFormatting sqref="AE71">
    <cfRule type="cellIs" dxfId="281" priority="78" stopIfTrue="1" operator="between">
      <formula>$C$59</formula>
      <formula>$D$59</formula>
    </cfRule>
    <cfRule type="cellIs" dxfId="280" priority="79" stopIfTrue="1" operator="between">
      <formula>$C$58</formula>
      <formula>$D$58</formula>
    </cfRule>
    <cfRule type="cellIs" dxfId="279" priority="80" stopIfTrue="1" operator="between">
      <formula>$C$57</formula>
      <formula>$D$57</formula>
    </cfRule>
    <cfRule type="cellIs" dxfId="278" priority="81" stopIfTrue="1" operator="between">
      <formula>$C$56</formula>
      <formula>$D$56</formula>
    </cfRule>
    <cfRule type="cellIs" dxfId="277" priority="82" stopIfTrue="1" operator="between">
      <formula>$C$55</formula>
      <formula>$D$55</formula>
    </cfRule>
    <cfRule type="cellIs" dxfId="276" priority="83" stopIfTrue="1" operator="greaterThan">
      <formula>$C$54</formula>
    </cfRule>
  </conditionalFormatting>
  <conditionalFormatting sqref="AG71">
    <cfRule type="cellIs" dxfId="275" priority="72" stopIfTrue="1" operator="between">
      <formula>$C$59</formula>
      <formula>$D$59</formula>
    </cfRule>
    <cfRule type="cellIs" dxfId="274" priority="73" stopIfTrue="1" operator="between">
      <formula>$C$58</formula>
      <formula>$D$58</formula>
    </cfRule>
    <cfRule type="cellIs" dxfId="273" priority="74" stopIfTrue="1" operator="between">
      <formula>$C$57</formula>
      <formula>$D$57</formula>
    </cfRule>
    <cfRule type="cellIs" dxfId="272" priority="75" stopIfTrue="1" operator="between">
      <formula>$C$56</formula>
      <formula>$D$56</formula>
    </cfRule>
    <cfRule type="cellIs" dxfId="271" priority="76" stopIfTrue="1" operator="between">
      <formula>$C$55</formula>
      <formula>$D$55</formula>
    </cfRule>
    <cfRule type="cellIs" dxfId="270" priority="77" stopIfTrue="1" operator="greaterThan">
      <formula>$C$54</formula>
    </cfRule>
  </conditionalFormatting>
  <conditionalFormatting sqref="AJ71">
    <cfRule type="cellIs" dxfId="269" priority="66" stopIfTrue="1" operator="between">
      <formula>$C$59</formula>
      <formula>$D$59</formula>
    </cfRule>
    <cfRule type="cellIs" dxfId="268" priority="67" stopIfTrue="1" operator="between">
      <formula>$C$58</formula>
      <formula>$D$58</formula>
    </cfRule>
    <cfRule type="cellIs" dxfId="267" priority="68" stopIfTrue="1" operator="between">
      <formula>$C$57</formula>
      <formula>$D$57</formula>
    </cfRule>
    <cfRule type="cellIs" dxfId="266" priority="69" stopIfTrue="1" operator="between">
      <formula>$C$56</formula>
      <formula>$D$56</formula>
    </cfRule>
    <cfRule type="cellIs" dxfId="265" priority="70" stopIfTrue="1" operator="between">
      <formula>$C$55</formula>
      <formula>$D$55</formula>
    </cfRule>
    <cfRule type="cellIs" dxfId="264" priority="71" stopIfTrue="1" operator="greaterThan">
      <formula>$C$54</formula>
    </cfRule>
  </conditionalFormatting>
  <conditionalFormatting sqref="AL71">
    <cfRule type="cellIs" dxfId="263" priority="60" stopIfTrue="1" operator="between">
      <formula>$C$59</formula>
      <formula>$D$59</formula>
    </cfRule>
    <cfRule type="cellIs" dxfId="262" priority="61" stopIfTrue="1" operator="between">
      <formula>$C$58</formula>
      <formula>$D$58</formula>
    </cfRule>
    <cfRule type="cellIs" dxfId="261" priority="62" stopIfTrue="1" operator="between">
      <formula>$C$57</formula>
      <formula>$D$57</formula>
    </cfRule>
    <cfRule type="cellIs" dxfId="260" priority="63" stopIfTrue="1" operator="between">
      <formula>$C$56</formula>
      <formula>$D$56</formula>
    </cfRule>
    <cfRule type="cellIs" dxfId="259" priority="64" stopIfTrue="1" operator="between">
      <formula>$C$55</formula>
      <formula>$D$55</formula>
    </cfRule>
    <cfRule type="cellIs" dxfId="258" priority="65" stopIfTrue="1" operator="greaterThan">
      <formula>$C$54</formula>
    </cfRule>
  </conditionalFormatting>
  <conditionalFormatting sqref="AP71">
    <cfRule type="cellIs" dxfId="257" priority="54" stopIfTrue="1" operator="between">
      <formula>$C$59</formula>
      <formula>$D$59</formula>
    </cfRule>
    <cfRule type="cellIs" dxfId="256" priority="55" stopIfTrue="1" operator="between">
      <formula>$C$58</formula>
      <formula>$D$58</formula>
    </cfRule>
    <cfRule type="cellIs" dxfId="255" priority="56" stopIfTrue="1" operator="between">
      <formula>$C$57</formula>
      <formula>$D$57</formula>
    </cfRule>
    <cfRule type="cellIs" dxfId="254" priority="57" stopIfTrue="1" operator="between">
      <formula>$C$56</formula>
      <formula>$D$56</formula>
    </cfRule>
    <cfRule type="cellIs" dxfId="253" priority="58" stopIfTrue="1" operator="between">
      <formula>$C$55</formula>
      <formula>$D$55</formula>
    </cfRule>
    <cfRule type="cellIs" dxfId="252" priority="59" stopIfTrue="1" operator="greaterThan">
      <formula>$C$54</formula>
    </cfRule>
  </conditionalFormatting>
  <conditionalFormatting sqref="AV71">
    <cfRule type="cellIs" dxfId="251" priority="48" stopIfTrue="1" operator="between">
      <formula>$C$59</formula>
      <formula>$D$59</formula>
    </cfRule>
    <cfRule type="cellIs" dxfId="250" priority="49" stopIfTrue="1" operator="between">
      <formula>$C$58</formula>
      <formula>$D$58</formula>
    </cfRule>
    <cfRule type="cellIs" dxfId="249" priority="50" stopIfTrue="1" operator="between">
      <formula>$C$57</formula>
      <formula>$D$57</formula>
    </cfRule>
    <cfRule type="cellIs" dxfId="248" priority="51" stopIfTrue="1" operator="between">
      <formula>$C$56</formula>
      <formula>$D$56</formula>
    </cfRule>
    <cfRule type="cellIs" dxfId="247" priority="52" stopIfTrue="1" operator="between">
      <formula>$C$55</formula>
      <formula>$D$55</formula>
    </cfRule>
    <cfRule type="cellIs" dxfId="246" priority="53" stopIfTrue="1" operator="greaterThan">
      <formula>$C$54</formula>
    </cfRule>
  </conditionalFormatting>
  <conditionalFormatting sqref="AX71">
    <cfRule type="cellIs" dxfId="245" priority="42" stopIfTrue="1" operator="between">
      <formula>$C$59</formula>
      <formula>$D$59</formula>
    </cfRule>
    <cfRule type="cellIs" dxfId="244" priority="43" stopIfTrue="1" operator="between">
      <formula>$C$58</formula>
      <formula>$D$58</formula>
    </cfRule>
    <cfRule type="cellIs" dxfId="243" priority="44" stopIfTrue="1" operator="between">
      <formula>$C$57</formula>
      <formula>$D$57</formula>
    </cfRule>
    <cfRule type="cellIs" dxfId="242" priority="45" stopIfTrue="1" operator="between">
      <formula>$C$56</formula>
      <formula>$D$56</formula>
    </cfRule>
    <cfRule type="cellIs" dxfId="241" priority="46" stopIfTrue="1" operator="between">
      <formula>$C$55</formula>
      <formula>$D$55</formula>
    </cfRule>
    <cfRule type="cellIs" dxfId="240" priority="47" stopIfTrue="1" operator="greaterThan">
      <formula>$C$54</formula>
    </cfRule>
  </conditionalFormatting>
  <conditionalFormatting sqref="AZ71">
    <cfRule type="cellIs" dxfId="239" priority="36" stopIfTrue="1" operator="between">
      <formula>$C$59</formula>
      <formula>$D$59</formula>
    </cfRule>
    <cfRule type="cellIs" dxfId="238" priority="37" stopIfTrue="1" operator="between">
      <formula>$C$58</formula>
      <formula>$D$58</formula>
    </cfRule>
    <cfRule type="cellIs" dxfId="237" priority="38" stopIfTrue="1" operator="between">
      <formula>$C$57</formula>
      <formula>$D$57</formula>
    </cfRule>
    <cfRule type="cellIs" dxfId="236" priority="39" stopIfTrue="1" operator="between">
      <formula>$C$56</formula>
      <formula>$D$56</formula>
    </cfRule>
    <cfRule type="cellIs" dxfId="235" priority="40" stopIfTrue="1" operator="between">
      <formula>$C$55</formula>
      <formula>$D$55</formula>
    </cfRule>
    <cfRule type="cellIs" dxfId="234" priority="41" stopIfTrue="1" operator="greaterThan">
      <formula>$C$54</formula>
    </cfRule>
  </conditionalFormatting>
  <conditionalFormatting sqref="BC71">
    <cfRule type="cellIs" dxfId="233" priority="30" stopIfTrue="1" operator="between">
      <formula>$C$59</formula>
      <formula>$D$59</formula>
    </cfRule>
    <cfRule type="cellIs" dxfId="232" priority="31" stopIfTrue="1" operator="between">
      <formula>$C$58</formula>
      <formula>$D$58</formula>
    </cfRule>
    <cfRule type="cellIs" dxfId="231" priority="32" stopIfTrue="1" operator="between">
      <formula>$C$57</formula>
      <formula>$D$57</formula>
    </cfRule>
    <cfRule type="cellIs" dxfId="230" priority="33" stopIfTrue="1" operator="between">
      <formula>$C$56</formula>
      <formula>$D$56</formula>
    </cfRule>
    <cfRule type="cellIs" dxfId="229" priority="34" stopIfTrue="1" operator="between">
      <formula>$C$55</formula>
      <formula>$D$55</formula>
    </cfRule>
    <cfRule type="cellIs" dxfId="228" priority="35" stopIfTrue="1" operator="greaterThan">
      <formula>$C$54</formula>
    </cfRule>
  </conditionalFormatting>
  <conditionalFormatting sqref="BE71">
    <cfRule type="cellIs" dxfId="227" priority="24" stopIfTrue="1" operator="between">
      <formula>$C$59</formula>
      <formula>$D$59</formula>
    </cfRule>
    <cfRule type="cellIs" dxfId="226" priority="25" stopIfTrue="1" operator="between">
      <formula>$C$58</formula>
      <formula>$D$58</formula>
    </cfRule>
    <cfRule type="cellIs" dxfId="225" priority="26" stopIfTrue="1" operator="between">
      <formula>$C$57</formula>
      <formula>$D$57</formula>
    </cfRule>
    <cfRule type="cellIs" dxfId="224" priority="27" stopIfTrue="1" operator="between">
      <formula>$C$56</formula>
      <formula>$D$56</formula>
    </cfRule>
    <cfRule type="cellIs" dxfId="223" priority="28" stopIfTrue="1" operator="between">
      <formula>$C$55</formula>
      <formula>$D$55</formula>
    </cfRule>
    <cfRule type="cellIs" dxfId="222" priority="29" stopIfTrue="1" operator="greaterThan">
      <formula>$C$54</formula>
    </cfRule>
  </conditionalFormatting>
  <conditionalFormatting sqref="BG71">
    <cfRule type="cellIs" dxfId="221" priority="18" stopIfTrue="1" operator="between">
      <formula>$C$59</formula>
      <formula>$D$59</formula>
    </cfRule>
    <cfRule type="cellIs" dxfId="220" priority="19" stopIfTrue="1" operator="between">
      <formula>$C$58</formula>
      <formula>$D$58</formula>
    </cfRule>
    <cfRule type="cellIs" dxfId="219" priority="20" stopIfTrue="1" operator="between">
      <formula>$C$57</formula>
      <formula>$D$57</formula>
    </cfRule>
    <cfRule type="cellIs" dxfId="218" priority="21" stopIfTrue="1" operator="between">
      <formula>$C$56</formula>
      <formula>$D$56</formula>
    </cfRule>
    <cfRule type="cellIs" dxfId="217" priority="22" stopIfTrue="1" operator="between">
      <formula>$C$55</formula>
      <formula>$D$55</formula>
    </cfRule>
    <cfRule type="cellIs" dxfId="216" priority="23" stopIfTrue="1" operator="greaterThan">
      <formula>$C$54</formula>
    </cfRule>
  </conditionalFormatting>
  <conditionalFormatting sqref="G11:G47">
    <cfRule type="cellIs" dxfId="215" priority="11" stopIfTrue="1" operator="between">
      <formula>$C$59</formula>
      <formula>$D$59</formula>
    </cfRule>
    <cfRule type="cellIs" dxfId="214" priority="12" stopIfTrue="1" operator="between">
      <formula>$C$58</formula>
      <formula>$D$58</formula>
    </cfRule>
    <cfRule type="cellIs" dxfId="213" priority="13" stopIfTrue="1" operator="between">
      <formula>$C$57</formula>
      <formula>$D$57</formula>
    </cfRule>
    <cfRule type="cellIs" dxfId="212" priority="14" stopIfTrue="1" operator="between">
      <formula>$C$56</formula>
      <formula>$D$56</formula>
    </cfRule>
    <cfRule type="cellIs" dxfId="211" priority="15" stopIfTrue="1" operator="between">
      <formula>$C$55</formula>
      <formula>$D$55</formula>
    </cfRule>
    <cfRule type="cellIs" dxfId="210" priority="16" stopIfTrue="1" operator="greaterThanOrEqual">
      <formula>$C$54</formula>
    </cfRule>
  </conditionalFormatting>
  <conditionalFormatting sqref="I11:I47">
    <cfRule type="cellIs" dxfId="209" priority="5" stopIfTrue="1" operator="between">
      <formula>$C$59</formula>
      <formula>$D$59</formula>
    </cfRule>
    <cfRule type="cellIs" dxfId="208" priority="6" stopIfTrue="1" operator="between">
      <formula>$C$58</formula>
      <formula>$D$58</formula>
    </cfRule>
    <cfRule type="cellIs" dxfId="207" priority="7" stopIfTrue="1" operator="between">
      <formula>$C$57</formula>
      <formula>$D$57</formula>
    </cfRule>
    <cfRule type="cellIs" dxfId="206" priority="8" stopIfTrue="1" operator="between">
      <formula>$C$56</formula>
      <formula>$D$56</formula>
    </cfRule>
    <cfRule type="cellIs" dxfId="205" priority="9" stopIfTrue="1" operator="between">
      <formula>$C$55</formula>
      <formula>$D$55</formula>
    </cfRule>
    <cfRule type="cellIs" dxfId="204" priority="10" stopIfTrue="1" operator="greaterThanOrEqual">
      <formula>$C$54</formula>
    </cfRule>
  </conditionalFormatting>
  <printOptions horizontalCentered="1"/>
  <pageMargins left="0.23622047244094491" right="0.19685039370078741" top="0.98425196850393704" bottom="0.31496062992125984" header="0.23622047244094491" footer="0.19685039370078741"/>
  <pageSetup paperSize="14" scale="65" orientation="landscape" horizontalDpi="4294967294" verticalDpi="4294967294" r:id="rId1"/>
  <headerFooter>
    <oddHeader>&amp;L                        &amp;G&amp;C&amp;"-,Negrita"Ministerio Salud y  Protección Social
República de Colombia
Dirección de Promoción y Prevención - Programa - PAI
Coberturas de Vacunación por Biologicos y  Departamento - Noviembre  2018</oddHeader>
    <oddFooter>&amp;C** &amp;F **&amp;R&amp;D - &amp;T        .</oddFooter>
  </headerFooter>
  <colBreaks count="1" manualBreakCount="1">
    <brk id="33" min="8" max="49" man="1"/>
  </colBreaks>
  <drawing r:id="rId2"/>
  <legacyDrawingHF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Z100"/>
  <sheetViews>
    <sheetView zoomScale="90" zoomScaleNormal="90" workbookViewId="0">
      <pane xSplit="3" ySplit="10" topLeftCell="D11" activePane="bottomRight" state="frozen"/>
      <selection pane="topRight" activeCell="D1" sqref="D1"/>
      <selection pane="bottomLeft" activeCell="A3" sqref="A3"/>
      <selection pane="bottomRight" activeCell="D11" sqref="D11"/>
    </sheetView>
  </sheetViews>
  <sheetFormatPr baseColWidth="10" defaultColWidth="11.42578125" defaultRowHeight="16.5" x14ac:dyDescent="0.3"/>
  <cols>
    <col min="1" max="1" width="4.5703125" style="1519" customWidth="1"/>
    <col min="2" max="2" width="19.5703125" style="1519" customWidth="1"/>
    <col min="3" max="3" width="15" style="1519" customWidth="1"/>
    <col min="4" max="4" width="9.42578125" style="1519" customWidth="1"/>
    <col min="5" max="5" width="7.28515625" style="1519" customWidth="1"/>
    <col min="6" max="6" width="9.140625" style="1519" customWidth="1"/>
    <col min="7" max="7" width="6.85546875" style="1519" customWidth="1"/>
    <col min="8" max="8" width="8.42578125" style="1519" customWidth="1"/>
    <col min="9" max="9" width="6.85546875" style="1519" customWidth="1"/>
    <col min="10" max="10" width="8.5703125" style="1519" customWidth="1"/>
    <col min="11" max="11" width="6.85546875" style="1519" customWidth="1"/>
    <col min="12" max="12" width="8" style="1519" customWidth="1"/>
    <col min="13" max="13" width="6.85546875" style="1519" customWidth="1"/>
    <col min="14" max="14" width="8.85546875" style="1519" customWidth="1"/>
    <col min="15" max="15" width="7.5703125" style="1519" customWidth="1"/>
    <col min="16" max="16" width="8.28515625" style="1519" customWidth="1"/>
    <col min="17" max="17" width="7.140625" style="1519" customWidth="1"/>
    <col min="18" max="18" width="7.85546875" style="1519" customWidth="1"/>
    <col min="19" max="19" width="7.140625" style="1519" customWidth="1"/>
    <col min="20" max="20" width="7.7109375" style="1519" customWidth="1"/>
    <col min="21" max="21" width="7" style="1519" customWidth="1"/>
    <col min="22" max="22" width="7.7109375" style="1519" customWidth="1"/>
    <col min="23" max="23" width="7.28515625" style="1519" customWidth="1"/>
    <col min="24" max="24" width="7.85546875" style="1519" customWidth="1"/>
    <col min="25" max="25" width="7.140625" style="1519" customWidth="1"/>
    <col min="26" max="26" width="8.140625" style="1519" customWidth="1"/>
    <col min="27" max="28" width="7.42578125" style="1519" customWidth="1"/>
    <col min="29" max="29" width="6.28515625" style="1519" customWidth="1"/>
    <col min="30" max="30" width="8.7109375" style="1519" customWidth="1"/>
    <col min="31" max="32" width="7.5703125" style="1519" customWidth="1"/>
    <col min="33" max="33" width="7" style="1519" customWidth="1"/>
    <col min="34" max="34" width="13.7109375" style="1519" customWidth="1"/>
    <col min="35" max="35" width="8.7109375" style="1519" customWidth="1"/>
    <col min="36" max="36" width="6.5703125" style="1519" customWidth="1"/>
    <col min="37" max="37" width="7.7109375" style="1519" customWidth="1"/>
    <col min="38" max="38" width="7.140625" style="1519" customWidth="1"/>
    <col min="39" max="39" width="8.5703125" style="1519" customWidth="1"/>
    <col min="40" max="40" width="7.140625" style="1519" customWidth="1"/>
    <col min="41" max="41" width="7.85546875" style="1519" customWidth="1"/>
    <col min="42" max="42" width="7" style="1519" customWidth="1"/>
    <col min="43" max="43" width="7.85546875" style="1519" customWidth="1"/>
    <col min="44" max="44" width="7.140625" style="1519" customWidth="1"/>
    <col min="45" max="45" width="7.28515625" style="1519" customWidth="1"/>
    <col min="46" max="46" width="5.5703125" style="1519" customWidth="1"/>
    <col min="47" max="47" width="7.28515625" style="1519" customWidth="1"/>
    <col min="48" max="48" width="8.42578125" style="1519" customWidth="1"/>
    <col min="49" max="49" width="7.85546875" style="1519" customWidth="1"/>
    <col min="50" max="50" width="7.140625" style="1519" customWidth="1"/>
    <col min="51" max="51" width="8.140625" style="1519" customWidth="1"/>
    <col min="52" max="52" width="7.42578125" style="1519" customWidth="1"/>
    <col min="53" max="53" width="13.5703125" style="1519" customWidth="1"/>
    <col min="54" max="54" width="8.85546875" style="1519" customWidth="1"/>
    <col min="55" max="55" width="6.7109375" style="1519" customWidth="1"/>
    <col min="56" max="56" width="8" style="1519" customWidth="1"/>
    <col min="57" max="57" width="6.5703125" style="1519" customWidth="1"/>
    <col min="58" max="58" width="8.7109375" style="1519" customWidth="1"/>
    <col min="59" max="59" width="6.7109375" style="1519" customWidth="1"/>
    <col min="60" max="60" width="8.42578125" style="1519" customWidth="1"/>
    <col min="61" max="61" width="6.7109375" style="1519" customWidth="1"/>
    <col min="62" max="62" width="9.42578125" style="1519" customWidth="1"/>
    <col min="63" max="63" width="10" style="1519" customWidth="1"/>
    <col min="64" max="64" width="12.28515625" style="1519" customWidth="1"/>
    <col min="65" max="65" width="10.85546875" style="1519" customWidth="1"/>
    <col min="66" max="66" width="6.140625" style="1519" customWidth="1"/>
    <col min="67" max="67" width="9.7109375" style="1519" customWidth="1"/>
    <col min="68" max="68" width="7.7109375" style="1519" customWidth="1"/>
    <col min="69" max="69" width="11" style="1519" customWidth="1"/>
    <col min="70" max="70" width="6.7109375" style="1519" customWidth="1"/>
    <col min="71" max="71" width="9.7109375" style="1519" customWidth="1"/>
    <col min="72" max="72" width="8.7109375" style="1519" customWidth="1"/>
    <col min="73" max="73" width="6.7109375" style="1519" customWidth="1"/>
    <col min="74" max="74" width="7.42578125" style="1519" customWidth="1"/>
    <col min="75" max="75" width="6.28515625" style="1519" customWidth="1"/>
    <col min="76" max="76" width="3.28515625" style="1519" customWidth="1"/>
    <col min="77" max="77" width="9.85546875" style="1519" bestFit="1" customWidth="1"/>
    <col min="78" max="78" width="6.85546875" style="1519" customWidth="1"/>
    <col min="79" max="16384" width="11.42578125" style="1519"/>
  </cols>
  <sheetData>
    <row r="1" spans="1:78" s="1362" customFormat="1" ht="12" customHeight="1" x14ac:dyDescent="0.3">
      <c r="A1" s="622"/>
      <c r="B1" s="622"/>
      <c r="C1" s="622"/>
      <c r="D1" s="622"/>
      <c r="E1" s="622"/>
      <c r="F1" s="622"/>
      <c r="G1" s="622"/>
      <c r="H1" s="622"/>
      <c r="I1" s="622"/>
      <c r="J1" s="622"/>
      <c r="K1" s="622"/>
      <c r="L1" s="622"/>
      <c r="M1" s="622"/>
      <c r="N1" s="622"/>
      <c r="O1" s="622"/>
      <c r="P1" s="622"/>
      <c r="Q1" s="622"/>
      <c r="R1" s="622"/>
      <c r="S1" s="622"/>
      <c r="T1" s="622"/>
      <c r="U1" s="622"/>
      <c r="V1" s="622"/>
      <c r="W1" s="622"/>
      <c r="X1" s="622"/>
      <c r="Y1" s="622"/>
      <c r="Z1" s="622"/>
      <c r="AA1" s="622"/>
      <c r="AB1" s="622"/>
      <c r="AC1" s="622"/>
      <c r="AD1" s="622"/>
      <c r="AE1" s="622"/>
      <c r="AF1" s="622"/>
      <c r="AG1" s="622"/>
      <c r="AH1" s="622"/>
      <c r="AI1" s="622"/>
      <c r="AJ1" s="622"/>
      <c r="AK1" s="622"/>
      <c r="AL1" s="622"/>
      <c r="AM1" s="622"/>
      <c r="AN1" s="622"/>
      <c r="AO1" s="622"/>
      <c r="AP1" s="622"/>
      <c r="AQ1" s="622"/>
      <c r="AR1" s="622"/>
      <c r="AS1" s="622"/>
      <c r="AT1" s="622"/>
      <c r="AU1" s="622"/>
      <c r="AV1" s="622"/>
      <c r="AW1" s="622"/>
      <c r="AX1" s="622"/>
      <c r="AY1" s="622"/>
      <c r="AZ1" s="622"/>
      <c r="BA1" s="622"/>
      <c r="BB1" s="622"/>
      <c r="BC1" s="622"/>
      <c r="BD1" s="622"/>
      <c r="BE1" s="622"/>
      <c r="BF1" s="622"/>
      <c r="BG1" s="622"/>
    </row>
    <row r="2" spans="1:78" s="1362" customFormat="1" ht="12" customHeight="1" x14ac:dyDescent="0.3">
      <c r="A2" s="622"/>
      <c r="B2" s="622"/>
      <c r="C2" s="622"/>
      <c r="D2" s="622"/>
      <c r="E2" s="622"/>
      <c r="F2" s="622"/>
      <c r="G2" s="622"/>
      <c r="H2" s="622"/>
      <c r="I2" s="622"/>
      <c r="J2" s="622"/>
      <c r="K2" s="622"/>
      <c r="L2" s="622"/>
      <c r="M2" s="622"/>
      <c r="N2" s="622"/>
      <c r="O2" s="622"/>
      <c r="P2" s="622"/>
      <c r="Q2" s="622"/>
      <c r="R2" s="622"/>
      <c r="S2" s="622"/>
      <c r="T2" s="622"/>
      <c r="U2" s="622"/>
      <c r="V2" s="622"/>
      <c r="W2" s="622"/>
      <c r="X2" s="622"/>
      <c r="Y2" s="622"/>
      <c r="Z2" s="622"/>
      <c r="AA2" s="622"/>
      <c r="AB2" s="622"/>
      <c r="AC2" s="622"/>
      <c r="AD2" s="622"/>
      <c r="AE2" s="622"/>
      <c r="AF2" s="622"/>
      <c r="AG2" s="622"/>
      <c r="AH2" s="622"/>
      <c r="AI2" s="622"/>
      <c r="AJ2" s="622"/>
      <c r="AK2" s="622"/>
      <c r="AL2" s="622"/>
      <c r="AM2" s="622"/>
      <c r="AN2" s="622"/>
      <c r="AO2" s="622"/>
      <c r="AP2" s="622"/>
      <c r="AQ2" s="622"/>
      <c r="AR2" s="622"/>
      <c r="AS2" s="622"/>
      <c r="AT2" s="622"/>
      <c r="AU2" s="622"/>
      <c r="AV2" s="622"/>
      <c r="AW2" s="622"/>
      <c r="AX2" s="622"/>
      <c r="AY2" s="622"/>
      <c r="AZ2" s="622"/>
      <c r="BA2" s="622"/>
      <c r="BB2" s="622"/>
      <c r="BC2" s="622"/>
      <c r="BD2" s="622"/>
      <c r="BE2" s="622"/>
      <c r="BF2" s="622"/>
      <c r="BG2" s="622"/>
    </row>
    <row r="3" spans="1:78" s="1362" customFormat="1" ht="12" customHeight="1" x14ac:dyDescent="0.3">
      <c r="A3" s="622"/>
      <c r="B3" s="622"/>
      <c r="C3" s="622"/>
      <c r="D3" s="622"/>
      <c r="E3" s="622"/>
      <c r="F3" s="622"/>
      <c r="G3" s="622"/>
      <c r="H3" s="622"/>
      <c r="I3" s="622"/>
      <c r="J3" s="622"/>
      <c r="K3" s="622"/>
      <c r="L3" s="622"/>
      <c r="M3" s="622"/>
      <c r="N3" s="622"/>
      <c r="O3" s="622"/>
      <c r="P3" s="622"/>
      <c r="Q3" s="622"/>
      <c r="R3" s="622"/>
      <c r="S3" s="622"/>
      <c r="T3" s="622"/>
      <c r="U3" s="622"/>
      <c r="V3" s="622"/>
      <c r="W3" s="622"/>
      <c r="X3" s="622"/>
      <c r="Y3" s="622"/>
      <c r="Z3" s="622"/>
      <c r="AA3" s="622"/>
      <c r="AB3" s="622"/>
      <c r="AC3" s="622"/>
      <c r="AD3" s="622"/>
      <c r="AE3" s="622"/>
      <c r="AF3" s="622"/>
      <c r="AG3" s="622"/>
      <c r="AH3" s="622"/>
      <c r="AI3" s="622"/>
      <c r="AJ3" s="622"/>
      <c r="AK3" s="622"/>
      <c r="AL3" s="622"/>
      <c r="AM3" s="622"/>
      <c r="AN3" s="622"/>
      <c r="AO3" s="622"/>
      <c r="AP3" s="622"/>
      <c r="AQ3" s="622"/>
      <c r="AR3" s="622"/>
      <c r="AS3" s="622"/>
      <c r="AT3" s="622"/>
      <c r="AU3" s="622"/>
      <c r="AV3" s="622"/>
      <c r="AW3" s="622"/>
      <c r="AX3" s="622"/>
      <c r="AY3" s="622"/>
      <c r="AZ3" s="622"/>
      <c r="BA3" s="622"/>
      <c r="BB3" s="622"/>
      <c r="BC3" s="622"/>
      <c r="BD3" s="622"/>
      <c r="BE3" s="622"/>
      <c r="BF3" s="622"/>
      <c r="BG3" s="622"/>
    </row>
    <row r="4" spans="1:78" s="1362" customFormat="1" ht="12" customHeight="1" x14ac:dyDescent="0.3">
      <c r="A4" s="622"/>
      <c r="B4" s="622"/>
      <c r="C4" s="622"/>
      <c r="D4" s="622"/>
      <c r="E4" s="622"/>
      <c r="F4" s="622"/>
      <c r="G4" s="622"/>
      <c r="H4" s="622"/>
      <c r="I4" s="622"/>
      <c r="J4" s="622"/>
      <c r="K4" s="622"/>
      <c r="L4" s="622"/>
      <c r="M4" s="622"/>
      <c r="N4" s="622"/>
      <c r="O4" s="622"/>
      <c r="P4" s="622"/>
      <c r="Q4" s="622"/>
      <c r="R4" s="622"/>
      <c r="S4" s="622"/>
      <c r="T4" s="622"/>
      <c r="U4" s="622"/>
      <c r="V4" s="622"/>
      <c r="W4" s="622"/>
      <c r="X4" s="622"/>
      <c r="Y4" s="622"/>
      <c r="Z4" s="622"/>
      <c r="AA4" s="622"/>
      <c r="AB4" s="622"/>
      <c r="AC4" s="622"/>
      <c r="AD4" s="622"/>
      <c r="AE4" s="622"/>
      <c r="AF4" s="622"/>
      <c r="AG4" s="622"/>
      <c r="AH4" s="622"/>
      <c r="AI4" s="622"/>
      <c r="AJ4" s="622"/>
      <c r="AK4" s="622"/>
      <c r="AL4" s="622"/>
      <c r="AM4" s="622"/>
      <c r="AN4" s="622"/>
      <c r="AO4" s="622"/>
      <c r="AP4" s="622"/>
      <c r="AQ4" s="622"/>
      <c r="AR4" s="622"/>
      <c r="AS4" s="622"/>
      <c r="AT4" s="622"/>
      <c r="AU4" s="622"/>
      <c r="AV4" s="622"/>
      <c r="AW4" s="622"/>
      <c r="AX4" s="622"/>
      <c r="AY4" s="622"/>
      <c r="AZ4" s="622"/>
      <c r="BA4" s="622"/>
      <c r="BB4" s="622"/>
      <c r="BC4" s="622"/>
      <c r="BD4" s="622"/>
      <c r="BE4" s="622"/>
      <c r="BF4" s="622"/>
      <c r="BG4" s="622"/>
    </row>
    <row r="5" spans="1:78" s="1362" customFormat="1" ht="21.75" customHeight="1" x14ac:dyDescent="0.3">
      <c r="B5" s="702" t="s">
        <v>305</v>
      </c>
      <c r="D5" s="704" t="s">
        <v>527</v>
      </c>
      <c r="E5" s="703"/>
      <c r="F5" s="703"/>
      <c r="G5" s="703"/>
      <c r="H5" s="703"/>
      <c r="I5" s="703"/>
      <c r="J5" s="703"/>
      <c r="K5" s="703"/>
      <c r="L5" s="703"/>
      <c r="M5" s="703"/>
      <c r="N5" s="703"/>
      <c r="O5" s="703"/>
      <c r="P5" s="703"/>
      <c r="Q5" s="703"/>
      <c r="R5" s="703"/>
      <c r="S5" s="703"/>
      <c r="T5" s="703"/>
      <c r="U5" s="703"/>
      <c r="V5" s="703"/>
      <c r="W5" s="703"/>
      <c r="X5" s="703"/>
      <c r="Y5" s="703"/>
      <c r="Z5" s="703"/>
      <c r="AA5" s="703"/>
      <c r="AB5" s="703"/>
      <c r="AC5" s="703"/>
      <c r="AD5" s="703"/>
      <c r="AE5" s="703"/>
      <c r="AF5" s="703"/>
      <c r="AG5" s="703"/>
      <c r="AH5" s="703"/>
      <c r="AI5" s="703"/>
      <c r="AJ5" s="703"/>
      <c r="AK5" s="703"/>
      <c r="AL5" s="703"/>
      <c r="AM5" s="703"/>
      <c r="AN5" s="703"/>
      <c r="AO5" s="703"/>
      <c r="AP5" s="703"/>
      <c r="AQ5" s="703"/>
      <c r="AR5" s="703"/>
      <c r="AS5" s="703"/>
      <c r="AT5" s="703"/>
      <c r="AU5" s="703"/>
      <c r="AV5" s="703"/>
      <c r="AW5" s="703"/>
      <c r="AX5" s="703"/>
      <c r="AY5" s="703"/>
      <c r="AZ5" s="703"/>
      <c r="BA5" s="703"/>
      <c r="BB5" s="703"/>
      <c r="BC5" s="703"/>
      <c r="BD5" s="703"/>
      <c r="BE5" s="703"/>
      <c r="BF5" s="703"/>
      <c r="BG5" s="703"/>
    </row>
    <row r="6" spans="1:78" s="1362" customFormat="1" x14ac:dyDescent="0.3">
      <c r="B6" s="702" t="s">
        <v>306</v>
      </c>
      <c r="D6" s="705">
        <v>43885</v>
      </c>
      <c r="E6" s="703"/>
      <c r="F6" s="703"/>
      <c r="G6" s="703"/>
      <c r="H6" s="703"/>
      <c r="I6" s="703"/>
      <c r="J6" s="703"/>
      <c r="K6" s="703"/>
      <c r="L6" s="703"/>
      <c r="M6" s="703"/>
      <c r="N6" s="703"/>
      <c r="O6" s="703"/>
      <c r="P6" s="703"/>
      <c r="Q6" s="703"/>
      <c r="R6" s="703"/>
      <c r="S6" s="703"/>
      <c r="T6" s="703"/>
      <c r="U6" s="703"/>
      <c r="V6" s="703"/>
      <c r="W6" s="703"/>
      <c r="X6" s="703"/>
      <c r="Y6" s="703"/>
      <c r="Z6" s="703"/>
      <c r="AA6" s="703"/>
      <c r="AB6" s="703"/>
      <c r="AC6" s="703"/>
      <c r="AD6" s="703"/>
      <c r="AE6" s="703"/>
      <c r="AF6" s="703"/>
      <c r="AG6" s="703"/>
      <c r="AH6" s="703"/>
      <c r="AI6" s="703"/>
      <c r="AJ6" s="703"/>
      <c r="AK6" s="703"/>
      <c r="AL6" s="703"/>
      <c r="AM6" s="703"/>
      <c r="AN6" s="703"/>
      <c r="AO6" s="703"/>
      <c r="AP6" s="703"/>
      <c r="AQ6" s="703"/>
      <c r="AR6" s="703"/>
      <c r="AS6" s="703"/>
      <c r="AT6" s="703"/>
      <c r="AU6" s="703"/>
      <c r="AV6" s="703"/>
      <c r="AW6" s="703"/>
      <c r="AX6" s="703"/>
      <c r="AY6" s="703"/>
      <c r="AZ6" s="703"/>
      <c r="BA6" s="703"/>
      <c r="BB6" s="703"/>
      <c r="BC6" s="703"/>
      <c r="BD6" s="703"/>
      <c r="BE6" s="703"/>
      <c r="BF6" s="703"/>
      <c r="BG6" s="703"/>
    </row>
    <row r="7" spans="1:78" s="1362" customFormat="1" x14ac:dyDescent="0.3">
      <c r="B7" s="702" t="s">
        <v>307</v>
      </c>
      <c r="D7" s="657" t="s">
        <v>309</v>
      </c>
      <c r="E7" s="703"/>
      <c r="F7" s="703"/>
      <c r="G7" s="703"/>
      <c r="H7" s="703"/>
      <c r="I7" s="703"/>
      <c r="J7" s="703"/>
      <c r="K7" s="703"/>
      <c r="L7" s="703"/>
      <c r="M7" s="703"/>
      <c r="N7" s="703"/>
      <c r="O7" s="703"/>
      <c r="P7" s="703"/>
      <c r="Q7" s="703"/>
      <c r="R7" s="703"/>
      <c r="S7" s="703"/>
      <c r="T7" s="703"/>
      <c r="U7" s="703"/>
      <c r="V7" s="703"/>
      <c r="W7" s="703"/>
      <c r="X7" s="703"/>
      <c r="Y7" s="703"/>
      <c r="Z7" s="703"/>
      <c r="AA7" s="703"/>
      <c r="AB7" s="703"/>
      <c r="AC7" s="703"/>
      <c r="AD7" s="703"/>
      <c r="AE7" s="703"/>
      <c r="AF7" s="703"/>
      <c r="AG7" s="703"/>
      <c r="AH7" s="703"/>
      <c r="AI7" s="703"/>
      <c r="AJ7" s="703"/>
      <c r="AK7" s="703"/>
      <c r="AL7" s="703"/>
      <c r="AM7" s="703"/>
      <c r="AN7" s="703"/>
      <c r="AO7" s="703"/>
      <c r="AP7" s="703"/>
      <c r="AQ7" s="703"/>
      <c r="AR7" s="703"/>
      <c r="AS7" s="703"/>
      <c r="AT7" s="703"/>
      <c r="AU7" s="703"/>
      <c r="AV7" s="703"/>
      <c r="AW7" s="703"/>
      <c r="AX7" s="703"/>
      <c r="AY7" s="703"/>
      <c r="AZ7" s="703"/>
      <c r="BA7" s="703"/>
      <c r="BB7" s="703"/>
      <c r="BC7" s="703"/>
      <c r="BD7" s="703"/>
      <c r="BE7" s="703"/>
      <c r="BF7" s="703"/>
      <c r="BG7" s="703"/>
    </row>
    <row r="8" spans="1:78" s="1362" customFormat="1" ht="10.5" customHeight="1" thickBot="1" x14ac:dyDescent="0.35"/>
    <row r="9" spans="1:78" s="1362" customFormat="1" ht="53.25" customHeight="1" x14ac:dyDescent="0.3">
      <c r="D9" s="1988" t="s">
        <v>413</v>
      </c>
      <c r="E9" s="1989"/>
      <c r="F9" s="1990" t="s">
        <v>467</v>
      </c>
      <c r="G9" s="1990"/>
      <c r="H9" s="1990" t="s">
        <v>468</v>
      </c>
      <c r="I9" s="1990"/>
      <c r="J9" s="1991" t="s">
        <v>469</v>
      </c>
      <c r="K9" s="1991"/>
      <c r="L9" s="1992" t="s">
        <v>415</v>
      </c>
      <c r="M9" s="1992"/>
      <c r="N9" s="1993" t="s">
        <v>416</v>
      </c>
      <c r="O9" s="1993"/>
      <c r="P9" s="1994" t="s">
        <v>417</v>
      </c>
      <c r="Q9" s="1994"/>
      <c r="R9" s="1994" t="s">
        <v>417</v>
      </c>
      <c r="S9" s="1994"/>
      <c r="T9" s="1994" t="s">
        <v>417</v>
      </c>
      <c r="U9" s="1994"/>
      <c r="V9" s="1944" t="s">
        <v>418</v>
      </c>
      <c r="W9" s="1944"/>
      <c r="X9" s="1944" t="s">
        <v>419</v>
      </c>
      <c r="Y9" s="1944"/>
      <c r="Z9" s="1987" t="s">
        <v>420</v>
      </c>
      <c r="AA9" s="1987"/>
      <c r="AB9" s="1987" t="s">
        <v>420</v>
      </c>
      <c r="AC9" s="1987"/>
      <c r="AD9" s="1939" t="s">
        <v>421</v>
      </c>
      <c r="AE9" s="1939"/>
      <c r="AF9" s="1939" t="s">
        <v>421</v>
      </c>
      <c r="AG9" s="1939"/>
      <c r="AH9" s="1698" t="s">
        <v>518</v>
      </c>
      <c r="AI9" s="1996" t="s">
        <v>423</v>
      </c>
      <c r="AJ9" s="1996"/>
      <c r="AK9" s="1997" t="s">
        <v>424</v>
      </c>
      <c r="AL9" s="1997"/>
      <c r="AM9" s="1998" t="s">
        <v>429</v>
      </c>
      <c r="AN9" s="1998"/>
      <c r="AO9" s="1999" t="s">
        <v>425</v>
      </c>
      <c r="AP9" s="1999"/>
      <c r="AQ9" s="1939" t="s">
        <v>426</v>
      </c>
      <c r="AR9" s="1939"/>
      <c r="AS9" s="1939" t="s">
        <v>427</v>
      </c>
      <c r="AT9" s="1939"/>
      <c r="AU9" s="1588" t="s">
        <v>427</v>
      </c>
      <c r="AV9" s="1588" t="s">
        <v>428</v>
      </c>
      <c r="AW9" s="1995" t="s">
        <v>430</v>
      </c>
      <c r="AX9" s="1995"/>
      <c r="AY9" s="2000" t="s">
        <v>431</v>
      </c>
      <c r="AZ9" s="2000"/>
      <c r="BA9" s="1699" t="s">
        <v>519</v>
      </c>
      <c r="BB9" s="1995" t="s">
        <v>433</v>
      </c>
      <c r="BC9" s="1995"/>
      <c r="BD9" s="2000" t="s">
        <v>434</v>
      </c>
      <c r="BE9" s="2000"/>
      <c r="BF9" s="1996" t="s">
        <v>435</v>
      </c>
      <c r="BG9" s="1996"/>
      <c r="BH9" s="1997" t="s">
        <v>520</v>
      </c>
      <c r="BI9" s="1997"/>
      <c r="BJ9" s="1700" t="s">
        <v>521</v>
      </c>
      <c r="BK9" s="1700" t="s">
        <v>522</v>
      </c>
      <c r="BL9" s="1701" t="s">
        <v>523</v>
      </c>
      <c r="BM9" s="2003" t="s">
        <v>524</v>
      </c>
      <c r="BN9" s="2003"/>
      <c r="BO9" s="2004" t="s">
        <v>525</v>
      </c>
      <c r="BP9" s="2004"/>
      <c r="BQ9" s="2005" t="s">
        <v>439</v>
      </c>
      <c r="BR9" s="2005"/>
      <c r="BS9" s="2001" t="s">
        <v>526</v>
      </c>
      <c r="BT9" s="2001"/>
      <c r="BU9" s="2001"/>
      <c r="BV9" s="2001"/>
      <c r="BW9" s="2002"/>
    </row>
    <row r="10" spans="1:78" s="1488" customFormat="1" ht="34.5" thickBot="1" x14ac:dyDescent="0.3">
      <c r="B10" s="1489" t="s">
        <v>210</v>
      </c>
      <c r="C10" s="1697" t="s">
        <v>365</v>
      </c>
      <c r="D10" s="1702" t="s">
        <v>442</v>
      </c>
      <c r="E10" s="1703" t="s">
        <v>5</v>
      </c>
      <c r="F10" s="1704" t="s">
        <v>443</v>
      </c>
      <c r="G10" s="1703" t="s">
        <v>5</v>
      </c>
      <c r="H10" s="1704" t="s">
        <v>443</v>
      </c>
      <c r="I10" s="1703" t="s">
        <v>5</v>
      </c>
      <c r="J10" s="1704" t="s">
        <v>443</v>
      </c>
      <c r="K10" s="1703" t="s">
        <v>5</v>
      </c>
      <c r="L10" s="1419" t="s">
        <v>444</v>
      </c>
      <c r="M10" s="1703" t="s">
        <v>5</v>
      </c>
      <c r="N10" s="1705" t="s">
        <v>83</v>
      </c>
      <c r="O10" s="1703" t="s">
        <v>5</v>
      </c>
      <c r="P10" s="1706" t="s">
        <v>444</v>
      </c>
      <c r="Q10" s="1703" t="s">
        <v>5</v>
      </c>
      <c r="R10" s="1706" t="s">
        <v>445</v>
      </c>
      <c r="S10" s="1703" t="s">
        <v>5</v>
      </c>
      <c r="T10" s="1706" t="s">
        <v>490</v>
      </c>
      <c r="U10" s="1703" t="s">
        <v>5</v>
      </c>
      <c r="V10" s="1707" t="s">
        <v>447</v>
      </c>
      <c r="W10" s="1703" t="s">
        <v>5</v>
      </c>
      <c r="X10" s="1707" t="s">
        <v>448</v>
      </c>
      <c r="Y10" s="1703" t="s">
        <v>5</v>
      </c>
      <c r="Z10" s="1708" t="s">
        <v>447</v>
      </c>
      <c r="AA10" s="1703" t="s">
        <v>5</v>
      </c>
      <c r="AB10" s="1708" t="s">
        <v>448</v>
      </c>
      <c r="AC10" s="1703" t="s">
        <v>5</v>
      </c>
      <c r="AD10" s="1709" t="s">
        <v>447</v>
      </c>
      <c r="AE10" s="1703" t="s">
        <v>5</v>
      </c>
      <c r="AF10" s="1709" t="s">
        <v>448</v>
      </c>
      <c r="AG10" s="1703" t="s">
        <v>5</v>
      </c>
      <c r="AH10" s="1710" t="s">
        <v>491</v>
      </c>
      <c r="AI10" s="1711" t="s">
        <v>91</v>
      </c>
      <c r="AJ10" s="1703" t="s">
        <v>5</v>
      </c>
      <c r="AK10" s="1712" t="s">
        <v>91</v>
      </c>
      <c r="AL10" s="1703" t="s">
        <v>5</v>
      </c>
      <c r="AM10" s="1713" t="s">
        <v>75</v>
      </c>
      <c r="AN10" s="1713" t="s">
        <v>5</v>
      </c>
      <c r="AO10" s="1714" t="s">
        <v>91</v>
      </c>
      <c r="AP10" s="1703" t="s">
        <v>5</v>
      </c>
      <c r="AQ10" s="1715" t="s">
        <v>450</v>
      </c>
      <c r="AR10" s="1703" t="s">
        <v>5</v>
      </c>
      <c r="AS10" s="1709" t="s">
        <v>447</v>
      </c>
      <c r="AT10" s="1703" t="s">
        <v>5</v>
      </c>
      <c r="AU10" s="1709" t="s">
        <v>448</v>
      </c>
      <c r="AV10" s="1709" t="s">
        <v>442</v>
      </c>
      <c r="AW10" s="1716" t="s">
        <v>451</v>
      </c>
      <c r="AX10" s="1717" t="s">
        <v>5</v>
      </c>
      <c r="AY10" s="1718" t="s">
        <v>451</v>
      </c>
      <c r="AZ10" s="1717" t="s">
        <v>5</v>
      </c>
      <c r="BA10" s="1719" t="s">
        <v>492</v>
      </c>
      <c r="BB10" s="1716" t="s">
        <v>452</v>
      </c>
      <c r="BC10" s="1717" t="s">
        <v>5</v>
      </c>
      <c r="BD10" s="1718" t="s">
        <v>452</v>
      </c>
      <c r="BE10" s="1717" t="s">
        <v>5</v>
      </c>
      <c r="BF10" s="1720" t="s">
        <v>493</v>
      </c>
      <c r="BG10" s="1717" t="s">
        <v>5</v>
      </c>
      <c r="BH10" s="1721" t="s">
        <v>75</v>
      </c>
      <c r="BI10" s="1703" t="s">
        <v>5</v>
      </c>
      <c r="BJ10" s="1420" t="s">
        <v>454</v>
      </c>
      <c r="BK10" s="1420" t="s">
        <v>454</v>
      </c>
      <c r="BL10" s="1722" t="s">
        <v>494</v>
      </c>
      <c r="BM10" s="1420" t="s">
        <v>454</v>
      </c>
      <c r="BN10" s="1420" t="s">
        <v>5</v>
      </c>
      <c r="BO10" s="1420" t="s">
        <v>454</v>
      </c>
      <c r="BP10" s="1420" t="s">
        <v>5</v>
      </c>
      <c r="BQ10" s="1421" t="s">
        <v>495</v>
      </c>
      <c r="BR10" s="1723" t="s">
        <v>5</v>
      </c>
      <c r="BS10" s="1724" t="s">
        <v>481</v>
      </c>
      <c r="BT10" s="1612" t="s">
        <v>496</v>
      </c>
      <c r="BU10" s="1725" t="s">
        <v>380</v>
      </c>
      <c r="BV10" s="1612" t="s">
        <v>497</v>
      </c>
      <c r="BW10" s="1726" t="s">
        <v>387</v>
      </c>
      <c r="BX10" s="1490" t="s">
        <v>498</v>
      </c>
      <c r="BY10" s="1488" t="s">
        <v>343</v>
      </c>
      <c r="BZ10" s="1488" t="s">
        <v>499</v>
      </c>
    </row>
    <row r="11" spans="1:78" s="1501" customFormat="1" ht="17.100000000000001" customHeight="1" x14ac:dyDescent="0.25">
      <c r="A11" s="1491" t="s">
        <v>500</v>
      </c>
      <c r="B11" s="1492" t="s">
        <v>12</v>
      </c>
      <c r="C11" s="1727">
        <v>1611</v>
      </c>
      <c r="D11" s="1728">
        <v>1353</v>
      </c>
      <c r="E11" s="1729">
        <f t="shared" ref="E11:E47" si="0">ROUND(D11/$C11*100,1)</f>
        <v>84</v>
      </c>
      <c r="F11" s="1730">
        <v>962</v>
      </c>
      <c r="G11" s="1729">
        <f t="shared" ref="G11:G47" si="1">ROUND(F11/$C11*100,1)</f>
        <v>59.7</v>
      </c>
      <c r="H11" s="1730">
        <v>243</v>
      </c>
      <c r="I11" s="1729">
        <f t="shared" ref="I11:I47" si="2">ROUND(H11/$C11*100,1)</f>
        <v>15.1</v>
      </c>
      <c r="J11" s="1730">
        <v>1205</v>
      </c>
      <c r="K11" s="1729">
        <f t="shared" ref="K11:K47" si="3">ROUND(J11/$C11*100,1)</f>
        <v>74.8</v>
      </c>
      <c r="L11" s="1730">
        <v>1429</v>
      </c>
      <c r="M11" s="1729">
        <f t="shared" ref="M11:M47" si="4">ROUND(L11/$C11*100,1)</f>
        <v>88.7</v>
      </c>
      <c r="N11" s="1730">
        <v>1468</v>
      </c>
      <c r="O11" s="1729">
        <f t="shared" ref="O11:O47" si="5">ROUND(N11/$C11*100,1)</f>
        <v>91.1</v>
      </c>
      <c r="P11" s="1730">
        <v>1424</v>
      </c>
      <c r="Q11" s="1729">
        <f t="shared" ref="Q11:Q47" si="6">ROUND(P11/$C11*100,1)</f>
        <v>88.4</v>
      </c>
      <c r="R11" s="1730">
        <v>1472</v>
      </c>
      <c r="S11" s="1729">
        <f t="shared" ref="S11:S47" si="7">ROUND(R11/$C11*100,1)</f>
        <v>91.4</v>
      </c>
      <c r="T11" s="1730">
        <v>1467</v>
      </c>
      <c r="U11" s="1729">
        <f t="shared" ref="U11:U47" si="8">ROUND(T11/$C11*100,1)</f>
        <v>91.1</v>
      </c>
      <c r="V11" s="1730">
        <v>1318</v>
      </c>
      <c r="W11" s="1729">
        <f t="shared" ref="W11:W47" si="9">ROUND(V11/C11*100,1)</f>
        <v>81.8</v>
      </c>
      <c r="X11" s="1730">
        <v>1363</v>
      </c>
      <c r="Y11" s="1729">
        <f t="shared" ref="Y11:Y47" si="10">ROUND(X11/$C11*100,1)</f>
        <v>84.6</v>
      </c>
      <c r="Z11" s="1730">
        <v>1234</v>
      </c>
      <c r="AA11" s="1729">
        <f t="shared" ref="AA11:AA47" si="11">ROUND(Z11/C11*100,1)</f>
        <v>76.599999999999994</v>
      </c>
      <c r="AB11" s="1730">
        <v>951</v>
      </c>
      <c r="AC11" s="1729">
        <f t="shared" ref="AC11:AC47" si="12">ROUND(AB11/C11*100,1)</f>
        <v>59</v>
      </c>
      <c r="AD11" s="1730">
        <v>1426</v>
      </c>
      <c r="AE11" s="1729">
        <f t="shared" ref="AE11:AE47" si="13">ROUND(AD11/$C11*100,1)</f>
        <v>88.5</v>
      </c>
      <c r="AF11" s="1730">
        <v>1477</v>
      </c>
      <c r="AG11" s="1729">
        <f t="shared" ref="AG11:AG47" si="14">ROUND(AF11/$C11*100,1)</f>
        <v>91.7</v>
      </c>
      <c r="AH11" s="1731">
        <v>1668</v>
      </c>
      <c r="AI11" s="1730">
        <v>1545</v>
      </c>
      <c r="AJ11" s="1732">
        <f t="shared" ref="AJ11:AJ47" si="15">ROUND(AI11/$AH11*100,1)</f>
        <v>92.6</v>
      </c>
      <c r="AK11" s="1730">
        <v>1494</v>
      </c>
      <c r="AL11" s="1729">
        <f t="shared" ref="AL11:AL47" si="16">ROUND(AK11/$AH11*100,1)</f>
        <v>89.6</v>
      </c>
      <c r="AM11" s="1730">
        <v>1567</v>
      </c>
      <c r="AN11" s="1729">
        <f t="shared" ref="AN11:AN47" si="17">ROUND(AM11/$AH11*100,1)</f>
        <v>93.9</v>
      </c>
      <c r="AO11" s="1730">
        <v>1563</v>
      </c>
      <c r="AP11" s="1729">
        <f t="shared" ref="AP11:AP47" si="18">ROUND(AO11/$AH11*100,1)</f>
        <v>93.7</v>
      </c>
      <c r="AQ11" s="1730">
        <v>1527</v>
      </c>
      <c r="AR11" s="1729">
        <f t="shared" ref="AR11:AR47" si="19">ROUND(AQ11/$AH11*100,1)</f>
        <v>91.5</v>
      </c>
      <c r="AS11" s="1730">
        <v>9</v>
      </c>
      <c r="AT11" s="1729">
        <f>AS11/$AH$11*100</f>
        <v>0.53956834532374098</v>
      </c>
      <c r="AU11" s="1730">
        <v>18</v>
      </c>
      <c r="AV11" s="1730">
        <v>43</v>
      </c>
      <c r="AW11" s="1730">
        <v>1308</v>
      </c>
      <c r="AX11" s="1729">
        <f t="shared" ref="AX11:AX47" si="20">ROUND(AW11/$AH11*100,1)</f>
        <v>78.400000000000006</v>
      </c>
      <c r="AY11" s="1730">
        <v>1300</v>
      </c>
      <c r="AZ11" s="1729">
        <f t="shared" ref="AZ11:AZ47" si="21">ROUND(AY11/$AH11*100,1)</f>
        <v>77.900000000000006</v>
      </c>
      <c r="BA11" s="1733">
        <v>1870</v>
      </c>
      <c r="BB11" s="1730">
        <v>1583</v>
      </c>
      <c r="BC11" s="1734">
        <f t="shared" ref="BC11:BC47" si="22">ROUND(BB11/$BA11*100,1)</f>
        <v>84.7</v>
      </c>
      <c r="BD11" s="1730">
        <v>1582</v>
      </c>
      <c r="BE11" s="1734">
        <f t="shared" ref="BE11:BE47" si="23">ROUND(BD11/$BA11*100,1)</f>
        <v>84.6</v>
      </c>
      <c r="BF11" s="1730">
        <v>1583</v>
      </c>
      <c r="BG11" s="1734">
        <f t="shared" ref="BG11:BG47" si="24">ROUND(BF11/$BA11*100,1)</f>
        <v>84.7</v>
      </c>
      <c r="BH11" s="1730">
        <v>585</v>
      </c>
      <c r="BI11" s="1734">
        <f t="shared" ref="BI11:BI47" si="25">ROUND(BH11/($BA11/2)*100,1)</f>
        <v>62.6</v>
      </c>
      <c r="BJ11" s="1730">
        <v>747</v>
      </c>
      <c r="BK11" s="1730">
        <v>629</v>
      </c>
      <c r="BL11" s="1735">
        <v>1314</v>
      </c>
      <c r="BM11" s="1730">
        <v>1090</v>
      </c>
      <c r="BN11" s="1736">
        <f t="shared" ref="BN11:BN47" si="26">BM11/BL11*100</f>
        <v>82.952815829528163</v>
      </c>
      <c r="BO11" s="1730">
        <v>694</v>
      </c>
      <c r="BP11" s="1734">
        <f t="shared" ref="BP11:BP47" si="27">ROUND(BO11/C11*100,1)</f>
        <v>43.1</v>
      </c>
      <c r="BQ11" s="1730">
        <v>979</v>
      </c>
      <c r="BR11" s="1750">
        <f t="shared" ref="BR11:BR47" si="28">ROUND(BQ11/C11*100,1)</f>
        <v>60.8</v>
      </c>
      <c r="BS11" s="1753">
        <v>837</v>
      </c>
      <c r="BT11" s="1730">
        <v>464</v>
      </c>
      <c r="BU11" s="1734">
        <f t="shared" ref="BU11:BU47" si="29">BT11/BS11*100</f>
        <v>55.43608124253285</v>
      </c>
      <c r="BV11" s="1730">
        <v>123</v>
      </c>
      <c r="BW11" s="1737">
        <f t="shared" ref="BW11:BW47" si="30">BV11/BS11*100</f>
        <v>14.695340501792115</v>
      </c>
      <c r="BX11" s="1500">
        <v>1</v>
      </c>
      <c r="BY11" s="1501" t="s">
        <v>344</v>
      </c>
      <c r="BZ11" s="1501">
        <v>1</v>
      </c>
    </row>
    <row r="12" spans="1:78" s="1501" customFormat="1" ht="17.100000000000001" customHeight="1" x14ac:dyDescent="0.25">
      <c r="A12" s="1491" t="s">
        <v>141</v>
      </c>
      <c r="B12" s="1492" t="s">
        <v>11</v>
      </c>
      <c r="C12" s="1727">
        <v>74381</v>
      </c>
      <c r="D12" s="1738">
        <v>69840</v>
      </c>
      <c r="E12" s="1494">
        <f t="shared" si="0"/>
        <v>93.9</v>
      </c>
      <c r="F12" s="1493">
        <v>49485</v>
      </c>
      <c r="G12" s="1494">
        <f t="shared" si="1"/>
        <v>66.5</v>
      </c>
      <c r="H12" s="1493">
        <v>19744</v>
      </c>
      <c r="I12" s="1494">
        <f t="shared" si="2"/>
        <v>26.5</v>
      </c>
      <c r="J12" s="1493">
        <v>69229</v>
      </c>
      <c r="K12" s="1494">
        <f t="shared" si="3"/>
        <v>93.1</v>
      </c>
      <c r="L12" s="1493">
        <v>72306</v>
      </c>
      <c r="M12" s="1494">
        <f t="shared" si="4"/>
        <v>97.2</v>
      </c>
      <c r="N12" s="1493">
        <v>70732</v>
      </c>
      <c r="O12" s="1494">
        <f t="shared" si="5"/>
        <v>95.1</v>
      </c>
      <c r="P12" s="1493">
        <v>72362</v>
      </c>
      <c r="Q12" s="1494">
        <f t="shared" si="6"/>
        <v>97.3</v>
      </c>
      <c r="R12" s="1493">
        <v>72006</v>
      </c>
      <c r="S12" s="1494">
        <f t="shared" si="7"/>
        <v>96.8</v>
      </c>
      <c r="T12" s="1493">
        <v>70752</v>
      </c>
      <c r="U12" s="1494">
        <f t="shared" si="8"/>
        <v>95.1</v>
      </c>
      <c r="V12" s="1493">
        <v>70558</v>
      </c>
      <c r="W12" s="1494">
        <f t="shared" si="9"/>
        <v>94.9</v>
      </c>
      <c r="X12" s="1493">
        <v>70612</v>
      </c>
      <c r="Y12" s="1494">
        <f t="shared" si="10"/>
        <v>94.9</v>
      </c>
      <c r="Z12" s="1493">
        <v>53755</v>
      </c>
      <c r="AA12" s="1494">
        <f t="shared" si="11"/>
        <v>72.3</v>
      </c>
      <c r="AB12" s="1493">
        <v>43606</v>
      </c>
      <c r="AC12" s="1494">
        <f t="shared" si="12"/>
        <v>58.6</v>
      </c>
      <c r="AD12" s="1493">
        <v>72634</v>
      </c>
      <c r="AE12" s="1494">
        <f t="shared" si="13"/>
        <v>97.7</v>
      </c>
      <c r="AF12" s="1493">
        <v>71754</v>
      </c>
      <c r="AG12" s="1494">
        <f t="shared" si="14"/>
        <v>96.5</v>
      </c>
      <c r="AH12" s="1429">
        <v>77622</v>
      </c>
      <c r="AI12" s="1493">
        <v>73842</v>
      </c>
      <c r="AJ12" s="1495">
        <f t="shared" si="15"/>
        <v>95.1</v>
      </c>
      <c r="AK12" s="1493">
        <v>66259</v>
      </c>
      <c r="AL12" s="1494">
        <f t="shared" si="16"/>
        <v>85.4</v>
      </c>
      <c r="AM12" s="1493">
        <v>74272</v>
      </c>
      <c r="AN12" s="1494">
        <f t="shared" si="17"/>
        <v>95.7</v>
      </c>
      <c r="AO12" s="1493">
        <v>69153</v>
      </c>
      <c r="AP12" s="1494">
        <f t="shared" si="18"/>
        <v>89.1</v>
      </c>
      <c r="AQ12" s="1493">
        <v>73046</v>
      </c>
      <c r="AR12" s="1494">
        <f t="shared" si="19"/>
        <v>94.1</v>
      </c>
      <c r="AS12" s="1493">
        <v>582</v>
      </c>
      <c r="AT12" s="1494">
        <f t="shared" ref="AT12:AT47" si="31">AS12/AH12*100</f>
        <v>0.74978743139831494</v>
      </c>
      <c r="AU12" s="1493">
        <v>810</v>
      </c>
      <c r="AV12" s="1493">
        <v>4146</v>
      </c>
      <c r="AW12" s="1493">
        <v>69344</v>
      </c>
      <c r="AX12" s="1494">
        <f t="shared" si="20"/>
        <v>89.3</v>
      </c>
      <c r="AY12" s="1493">
        <v>69292</v>
      </c>
      <c r="AZ12" s="1494">
        <f t="shared" si="21"/>
        <v>89.3</v>
      </c>
      <c r="BA12" s="1496">
        <v>84171</v>
      </c>
      <c r="BB12" s="1493">
        <v>74256</v>
      </c>
      <c r="BC12" s="1497">
        <f t="shared" si="22"/>
        <v>88.2</v>
      </c>
      <c r="BD12" s="1493">
        <v>74083</v>
      </c>
      <c r="BE12" s="1497">
        <f t="shared" si="23"/>
        <v>88</v>
      </c>
      <c r="BF12" s="1493">
        <v>74676</v>
      </c>
      <c r="BG12" s="1497">
        <f t="shared" si="24"/>
        <v>88.7</v>
      </c>
      <c r="BH12" s="1493">
        <v>28722</v>
      </c>
      <c r="BI12" s="1497">
        <f t="shared" si="25"/>
        <v>68.2</v>
      </c>
      <c r="BJ12" s="1493">
        <v>46342</v>
      </c>
      <c r="BK12" s="1493">
        <v>52347</v>
      </c>
      <c r="BL12" s="1498">
        <v>265395</v>
      </c>
      <c r="BM12" s="1493">
        <v>236792</v>
      </c>
      <c r="BN12" s="1499">
        <f t="shared" si="26"/>
        <v>89.222479700069712</v>
      </c>
      <c r="BO12" s="1493">
        <v>56014</v>
      </c>
      <c r="BP12" s="1497">
        <f t="shared" si="27"/>
        <v>75.3</v>
      </c>
      <c r="BQ12" s="1493">
        <v>60498</v>
      </c>
      <c r="BR12" s="1751">
        <f t="shared" si="28"/>
        <v>81.3</v>
      </c>
      <c r="BS12" s="1754">
        <v>46110</v>
      </c>
      <c r="BT12" s="1493">
        <v>22106</v>
      </c>
      <c r="BU12" s="1497">
        <f t="shared" si="29"/>
        <v>47.941878117545002</v>
      </c>
      <c r="BV12" s="1493">
        <v>8762</v>
      </c>
      <c r="BW12" s="1739">
        <f t="shared" si="30"/>
        <v>19.002385599653003</v>
      </c>
      <c r="BX12" s="1500">
        <v>2</v>
      </c>
      <c r="BY12" s="1501" t="s">
        <v>345</v>
      </c>
      <c r="BZ12" s="1501">
        <v>2</v>
      </c>
    </row>
    <row r="13" spans="1:78" s="1501" customFormat="1" ht="17.100000000000001" customHeight="1" x14ac:dyDescent="0.25">
      <c r="A13" s="1491" t="s">
        <v>255</v>
      </c>
      <c r="B13" s="1502" t="s">
        <v>13</v>
      </c>
      <c r="C13" s="1727">
        <v>4287</v>
      </c>
      <c r="D13" s="1738">
        <v>4873</v>
      </c>
      <c r="E13" s="1494">
        <f t="shared" si="0"/>
        <v>113.7</v>
      </c>
      <c r="F13" s="1493">
        <v>4710</v>
      </c>
      <c r="G13" s="1494">
        <f t="shared" si="1"/>
        <v>109.9</v>
      </c>
      <c r="H13" s="1493">
        <v>95</v>
      </c>
      <c r="I13" s="1494">
        <f t="shared" si="2"/>
        <v>2.2000000000000002</v>
      </c>
      <c r="J13" s="1493">
        <v>4805</v>
      </c>
      <c r="K13" s="1494">
        <f t="shared" si="3"/>
        <v>112.1</v>
      </c>
      <c r="L13" s="1493">
        <v>5210</v>
      </c>
      <c r="M13" s="1494">
        <f t="shared" si="4"/>
        <v>121.5</v>
      </c>
      <c r="N13" s="1493">
        <v>4936</v>
      </c>
      <c r="O13" s="1494">
        <f t="shared" si="5"/>
        <v>115.1</v>
      </c>
      <c r="P13" s="1493">
        <v>5213</v>
      </c>
      <c r="Q13" s="1494">
        <f t="shared" si="6"/>
        <v>121.6</v>
      </c>
      <c r="R13" s="1493">
        <v>5028</v>
      </c>
      <c r="S13" s="1494">
        <f t="shared" si="7"/>
        <v>117.3</v>
      </c>
      <c r="T13" s="1493">
        <v>4936</v>
      </c>
      <c r="U13" s="1494">
        <f t="shared" si="8"/>
        <v>115.1</v>
      </c>
      <c r="V13" s="1493">
        <v>5030</v>
      </c>
      <c r="W13" s="1494">
        <f t="shared" si="9"/>
        <v>117.3</v>
      </c>
      <c r="X13" s="1493">
        <v>4879</v>
      </c>
      <c r="Y13" s="1494">
        <f t="shared" si="10"/>
        <v>113.8</v>
      </c>
      <c r="Z13" s="1493">
        <v>3351</v>
      </c>
      <c r="AA13" s="1494">
        <f t="shared" si="11"/>
        <v>78.2</v>
      </c>
      <c r="AB13" s="1493">
        <v>2659</v>
      </c>
      <c r="AC13" s="1494">
        <f t="shared" si="12"/>
        <v>62</v>
      </c>
      <c r="AD13" s="1493">
        <v>5254</v>
      </c>
      <c r="AE13" s="1494">
        <f t="shared" si="13"/>
        <v>122.6</v>
      </c>
      <c r="AF13" s="1493">
        <v>5052</v>
      </c>
      <c r="AG13" s="1494">
        <f t="shared" si="14"/>
        <v>117.8</v>
      </c>
      <c r="AH13" s="1429">
        <v>4492</v>
      </c>
      <c r="AI13" s="1493">
        <v>4884</v>
      </c>
      <c r="AJ13" s="1495">
        <f t="shared" si="15"/>
        <v>108.7</v>
      </c>
      <c r="AK13" s="1493">
        <v>4867</v>
      </c>
      <c r="AL13" s="1494">
        <f t="shared" si="16"/>
        <v>108.3</v>
      </c>
      <c r="AM13" s="1493">
        <v>4901</v>
      </c>
      <c r="AN13" s="1494">
        <f t="shared" si="17"/>
        <v>109.1</v>
      </c>
      <c r="AO13" s="1493">
        <v>4972</v>
      </c>
      <c r="AP13" s="1494">
        <f t="shared" si="18"/>
        <v>110.7</v>
      </c>
      <c r="AQ13" s="1493">
        <v>4834</v>
      </c>
      <c r="AR13" s="1494">
        <f t="shared" si="19"/>
        <v>107.6</v>
      </c>
      <c r="AS13" s="1493">
        <v>47</v>
      </c>
      <c r="AT13" s="1494">
        <f t="shared" si="31"/>
        <v>1.0463045414069456</v>
      </c>
      <c r="AU13" s="1493">
        <v>85</v>
      </c>
      <c r="AV13" s="1493">
        <v>163</v>
      </c>
      <c r="AW13" s="1493">
        <v>4493</v>
      </c>
      <c r="AX13" s="1494">
        <f t="shared" si="20"/>
        <v>100</v>
      </c>
      <c r="AY13" s="1493">
        <v>4490</v>
      </c>
      <c r="AZ13" s="1494">
        <f t="shared" si="21"/>
        <v>100</v>
      </c>
      <c r="BA13" s="1496">
        <v>4811</v>
      </c>
      <c r="BB13" s="1493">
        <v>4325</v>
      </c>
      <c r="BC13" s="1497">
        <f t="shared" si="22"/>
        <v>89.9</v>
      </c>
      <c r="BD13" s="1493">
        <v>4325</v>
      </c>
      <c r="BE13" s="1497">
        <f t="shared" si="23"/>
        <v>89.9</v>
      </c>
      <c r="BF13" s="1493">
        <v>4354</v>
      </c>
      <c r="BG13" s="1497">
        <f t="shared" si="24"/>
        <v>90.5</v>
      </c>
      <c r="BH13" s="1493">
        <v>1627</v>
      </c>
      <c r="BI13" s="1497">
        <f t="shared" si="25"/>
        <v>67.599999999999994</v>
      </c>
      <c r="BJ13" s="1493">
        <v>1645</v>
      </c>
      <c r="BK13" s="1493">
        <v>1156</v>
      </c>
      <c r="BL13" s="1498">
        <v>6900</v>
      </c>
      <c r="BM13" s="1493">
        <v>3772</v>
      </c>
      <c r="BN13" s="1499">
        <f t="shared" si="26"/>
        <v>54.666666666666664</v>
      </c>
      <c r="BO13" s="1493">
        <v>3139</v>
      </c>
      <c r="BP13" s="1497">
        <f t="shared" si="27"/>
        <v>73.2</v>
      </c>
      <c r="BQ13" s="1493">
        <v>3819</v>
      </c>
      <c r="BR13" s="1751">
        <f t="shared" si="28"/>
        <v>89.1</v>
      </c>
      <c r="BS13" s="1754">
        <v>2340</v>
      </c>
      <c r="BT13" s="1493">
        <v>1952</v>
      </c>
      <c r="BU13" s="1497">
        <f t="shared" si="29"/>
        <v>83.418803418803421</v>
      </c>
      <c r="BV13" s="1493">
        <v>555</v>
      </c>
      <c r="BW13" s="1739">
        <f t="shared" si="30"/>
        <v>23.717948717948715</v>
      </c>
      <c r="BX13" s="1500">
        <v>3</v>
      </c>
      <c r="BY13" s="1501" t="s">
        <v>346</v>
      </c>
      <c r="BZ13" s="1501">
        <v>3</v>
      </c>
    </row>
    <row r="14" spans="1:78" s="1501" customFormat="1" ht="17.100000000000001" customHeight="1" x14ac:dyDescent="0.25">
      <c r="A14" s="1491" t="s">
        <v>142</v>
      </c>
      <c r="B14" s="1502" t="s">
        <v>14</v>
      </c>
      <c r="C14" s="1727">
        <v>19832</v>
      </c>
      <c r="D14" s="1738">
        <v>21160</v>
      </c>
      <c r="E14" s="1494">
        <f t="shared" si="0"/>
        <v>106.7</v>
      </c>
      <c r="F14" s="1493">
        <v>20352</v>
      </c>
      <c r="G14" s="1494">
        <f t="shared" si="1"/>
        <v>102.6</v>
      </c>
      <c r="H14" s="1493">
        <v>436</v>
      </c>
      <c r="I14" s="1494">
        <f t="shared" si="2"/>
        <v>2.2000000000000002</v>
      </c>
      <c r="J14" s="1493">
        <v>20788</v>
      </c>
      <c r="K14" s="1494">
        <f t="shared" si="3"/>
        <v>104.8</v>
      </c>
      <c r="L14" s="1493">
        <v>19253</v>
      </c>
      <c r="M14" s="1494">
        <f t="shared" si="4"/>
        <v>97.1</v>
      </c>
      <c r="N14" s="1493">
        <v>20131</v>
      </c>
      <c r="O14" s="1494">
        <f t="shared" si="5"/>
        <v>101.5</v>
      </c>
      <c r="P14" s="1493">
        <v>19264</v>
      </c>
      <c r="Q14" s="1494">
        <f t="shared" si="6"/>
        <v>97.1</v>
      </c>
      <c r="R14" s="1493">
        <v>19815</v>
      </c>
      <c r="S14" s="1494">
        <f t="shared" si="7"/>
        <v>99.9</v>
      </c>
      <c r="T14" s="1493">
        <v>20021</v>
      </c>
      <c r="U14" s="1494">
        <f t="shared" si="8"/>
        <v>101</v>
      </c>
      <c r="V14" s="1493">
        <v>19248</v>
      </c>
      <c r="W14" s="1494">
        <f t="shared" si="9"/>
        <v>97.1</v>
      </c>
      <c r="X14" s="1493">
        <v>19968</v>
      </c>
      <c r="Y14" s="1494">
        <f t="shared" si="10"/>
        <v>100.7</v>
      </c>
      <c r="Z14" s="1493">
        <v>15529</v>
      </c>
      <c r="AA14" s="1494">
        <f t="shared" si="11"/>
        <v>78.3</v>
      </c>
      <c r="AB14" s="1493">
        <v>10817</v>
      </c>
      <c r="AC14" s="1494">
        <f t="shared" si="12"/>
        <v>54.5</v>
      </c>
      <c r="AD14" s="1493">
        <v>19543</v>
      </c>
      <c r="AE14" s="1494">
        <f t="shared" si="13"/>
        <v>98.5</v>
      </c>
      <c r="AF14" s="1493">
        <v>20307</v>
      </c>
      <c r="AG14" s="1494">
        <f t="shared" si="14"/>
        <v>102.4</v>
      </c>
      <c r="AH14" s="1429">
        <v>20382</v>
      </c>
      <c r="AI14" s="1493">
        <v>20556</v>
      </c>
      <c r="AJ14" s="1495">
        <f t="shared" si="15"/>
        <v>100.9</v>
      </c>
      <c r="AK14" s="1493">
        <v>20310</v>
      </c>
      <c r="AL14" s="1494">
        <f t="shared" si="16"/>
        <v>99.6</v>
      </c>
      <c r="AM14" s="1493">
        <v>20456</v>
      </c>
      <c r="AN14" s="1494">
        <f t="shared" si="17"/>
        <v>100.4</v>
      </c>
      <c r="AO14" s="1493">
        <v>20539</v>
      </c>
      <c r="AP14" s="1494">
        <f t="shared" si="18"/>
        <v>100.8</v>
      </c>
      <c r="AQ14" s="1493">
        <v>20246</v>
      </c>
      <c r="AR14" s="1494">
        <f t="shared" si="19"/>
        <v>99.3</v>
      </c>
      <c r="AS14" s="1493">
        <v>257</v>
      </c>
      <c r="AT14" s="1494">
        <f t="shared" si="31"/>
        <v>1.2609164949465215</v>
      </c>
      <c r="AU14" s="1493">
        <v>347</v>
      </c>
      <c r="AV14" s="1493">
        <v>433</v>
      </c>
      <c r="AW14" s="1493">
        <v>21173</v>
      </c>
      <c r="AX14" s="1494">
        <f t="shared" si="20"/>
        <v>103.9</v>
      </c>
      <c r="AY14" s="1493">
        <v>20328</v>
      </c>
      <c r="AZ14" s="1494">
        <f t="shared" si="21"/>
        <v>99.7</v>
      </c>
      <c r="BA14" s="1496">
        <v>21021</v>
      </c>
      <c r="BB14" s="1493">
        <v>20355</v>
      </c>
      <c r="BC14" s="1497">
        <f t="shared" si="22"/>
        <v>96.8</v>
      </c>
      <c r="BD14" s="1493">
        <v>20395</v>
      </c>
      <c r="BE14" s="1497">
        <f t="shared" si="23"/>
        <v>97</v>
      </c>
      <c r="BF14" s="1493">
        <v>20313</v>
      </c>
      <c r="BG14" s="1497">
        <f t="shared" si="24"/>
        <v>96.6</v>
      </c>
      <c r="BH14" s="1493">
        <v>7552</v>
      </c>
      <c r="BI14" s="1497">
        <f t="shared" si="25"/>
        <v>71.900000000000006</v>
      </c>
      <c r="BJ14" s="1493">
        <v>14283</v>
      </c>
      <c r="BK14" s="1493">
        <v>7363</v>
      </c>
      <c r="BL14" s="1498">
        <v>42083</v>
      </c>
      <c r="BM14" s="1493">
        <v>8961</v>
      </c>
      <c r="BN14" s="1499">
        <f t="shared" si="26"/>
        <v>21.293634008982249</v>
      </c>
      <c r="BO14" s="1493">
        <v>11419</v>
      </c>
      <c r="BP14" s="1497">
        <f t="shared" si="27"/>
        <v>57.6</v>
      </c>
      <c r="BQ14" s="1493">
        <v>14948</v>
      </c>
      <c r="BR14" s="1751">
        <f t="shared" si="28"/>
        <v>75.400000000000006</v>
      </c>
      <c r="BS14" s="1754">
        <v>9311</v>
      </c>
      <c r="BT14" s="1493">
        <v>2115</v>
      </c>
      <c r="BU14" s="1497">
        <f t="shared" si="29"/>
        <v>22.715068198904522</v>
      </c>
      <c r="BV14" s="1493">
        <v>321</v>
      </c>
      <c r="BW14" s="1739">
        <f t="shared" si="30"/>
        <v>3.4475351734507576</v>
      </c>
      <c r="BX14" s="1500">
        <v>4</v>
      </c>
      <c r="BY14" s="1501" t="s">
        <v>347</v>
      </c>
      <c r="BZ14" s="1501">
        <v>4</v>
      </c>
    </row>
    <row r="15" spans="1:78" s="1501" customFormat="1" ht="17.100000000000001" customHeight="1" x14ac:dyDescent="0.25">
      <c r="A15" s="1491" t="s">
        <v>245</v>
      </c>
      <c r="B15" s="1503" t="s">
        <v>115</v>
      </c>
      <c r="C15" s="1727">
        <v>20373</v>
      </c>
      <c r="D15" s="1738">
        <v>20833</v>
      </c>
      <c r="E15" s="1494">
        <f t="shared" si="0"/>
        <v>102.3</v>
      </c>
      <c r="F15" s="1493">
        <v>20483</v>
      </c>
      <c r="G15" s="1494">
        <f t="shared" si="1"/>
        <v>100.5</v>
      </c>
      <c r="H15" s="1493">
        <v>407</v>
      </c>
      <c r="I15" s="1494">
        <f t="shared" si="2"/>
        <v>2</v>
      </c>
      <c r="J15" s="1493">
        <v>20890</v>
      </c>
      <c r="K15" s="1494">
        <f t="shared" si="3"/>
        <v>102.5</v>
      </c>
      <c r="L15" s="1493">
        <v>20831</v>
      </c>
      <c r="M15" s="1494">
        <f t="shared" si="4"/>
        <v>102.2</v>
      </c>
      <c r="N15" s="1493">
        <v>19675</v>
      </c>
      <c r="O15" s="1494">
        <f t="shared" si="5"/>
        <v>96.6</v>
      </c>
      <c r="P15" s="1493">
        <v>20814</v>
      </c>
      <c r="Q15" s="1494">
        <f t="shared" si="6"/>
        <v>102.2</v>
      </c>
      <c r="R15" s="1493">
        <v>20116</v>
      </c>
      <c r="S15" s="1494">
        <f t="shared" si="7"/>
        <v>98.7</v>
      </c>
      <c r="T15" s="1493">
        <v>19725</v>
      </c>
      <c r="U15" s="1494">
        <f t="shared" si="8"/>
        <v>96.8</v>
      </c>
      <c r="V15" s="1493">
        <v>20666</v>
      </c>
      <c r="W15" s="1494">
        <f t="shared" si="9"/>
        <v>101.4</v>
      </c>
      <c r="X15" s="1493">
        <v>20048</v>
      </c>
      <c r="Y15" s="1494">
        <f t="shared" si="10"/>
        <v>98.4</v>
      </c>
      <c r="Z15" s="1493">
        <v>18475</v>
      </c>
      <c r="AA15" s="1494">
        <f t="shared" si="11"/>
        <v>90.7</v>
      </c>
      <c r="AB15" s="1493">
        <v>12925</v>
      </c>
      <c r="AC15" s="1494">
        <f t="shared" si="12"/>
        <v>63.4</v>
      </c>
      <c r="AD15" s="1493">
        <v>21607</v>
      </c>
      <c r="AE15" s="1494">
        <f t="shared" si="13"/>
        <v>106.1</v>
      </c>
      <c r="AF15" s="1493">
        <v>20382</v>
      </c>
      <c r="AG15" s="1494">
        <f t="shared" si="14"/>
        <v>100</v>
      </c>
      <c r="AH15" s="1429">
        <v>21846</v>
      </c>
      <c r="AI15" s="1493">
        <v>21326</v>
      </c>
      <c r="AJ15" s="1495">
        <f t="shared" si="15"/>
        <v>97.6</v>
      </c>
      <c r="AK15" s="1493">
        <v>21175</v>
      </c>
      <c r="AL15" s="1494">
        <f t="shared" si="16"/>
        <v>96.9</v>
      </c>
      <c r="AM15" s="1493">
        <v>21380</v>
      </c>
      <c r="AN15" s="1494">
        <f t="shared" si="17"/>
        <v>97.9</v>
      </c>
      <c r="AO15" s="1493">
        <v>20765</v>
      </c>
      <c r="AP15" s="1494">
        <f t="shared" si="18"/>
        <v>95.1</v>
      </c>
      <c r="AQ15" s="1493">
        <v>21174</v>
      </c>
      <c r="AR15" s="1494">
        <f t="shared" si="19"/>
        <v>96.9</v>
      </c>
      <c r="AS15" s="1493">
        <v>426</v>
      </c>
      <c r="AT15" s="1494">
        <f t="shared" si="31"/>
        <v>1.9500137324910738</v>
      </c>
      <c r="AU15" s="1493">
        <v>223</v>
      </c>
      <c r="AV15" s="1493">
        <v>621</v>
      </c>
      <c r="AW15" s="1493">
        <v>20887</v>
      </c>
      <c r="AX15" s="1494">
        <f t="shared" si="20"/>
        <v>95.6</v>
      </c>
      <c r="AY15" s="1493">
        <v>20977</v>
      </c>
      <c r="AZ15" s="1494">
        <f t="shared" si="21"/>
        <v>96</v>
      </c>
      <c r="BA15" s="1496">
        <v>23033</v>
      </c>
      <c r="BB15" s="1493">
        <v>21130</v>
      </c>
      <c r="BC15" s="1497">
        <f t="shared" si="22"/>
        <v>91.7</v>
      </c>
      <c r="BD15" s="1493">
        <v>21086</v>
      </c>
      <c r="BE15" s="1497">
        <f t="shared" si="23"/>
        <v>91.5</v>
      </c>
      <c r="BF15" s="1493">
        <v>21282</v>
      </c>
      <c r="BG15" s="1497">
        <f t="shared" si="24"/>
        <v>92.4</v>
      </c>
      <c r="BH15" s="1493">
        <v>4714</v>
      </c>
      <c r="BI15" s="1497">
        <f t="shared" si="25"/>
        <v>40.9</v>
      </c>
      <c r="BJ15" s="1493">
        <v>14662</v>
      </c>
      <c r="BK15" s="1493">
        <v>12375</v>
      </c>
      <c r="BL15" s="1498">
        <v>48636</v>
      </c>
      <c r="BM15" s="1493">
        <v>27053</v>
      </c>
      <c r="BN15" s="1499">
        <f t="shared" si="26"/>
        <v>55.623406530142283</v>
      </c>
      <c r="BO15" s="1493">
        <v>14985</v>
      </c>
      <c r="BP15" s="1497">
        <f t="shared" si="27"/>
        <v>73.599999999999994</v>
      </c>
      <c r="BQ15" s="1493">
        <v>16481</v>
      </c>
      <c r="BR15" s="1751">
        <f t="shared" si="28"/>
        <v>80.900000000000006</v>
      </c>
      <c r="BS15" s="1754">
        <v>9670</v>
      </c>
      <c r="BT15" s="1493">
        <v>1214</v>
      </c>
      <c r="BU15" s="1497">
        <f t="shared" si="29"/>
        <v>12.554291623578075</v>
      </c>
      <c r="BV15" s="1493">
        <v>247</v>
      </c>
      <c r="BW15" s="1739">
        <f t="shared" si="30"/>
        <v>2.5542916235780764</v>
      </c>
      <c r="BX15" s="1500">
        <v>5</v>
      </c>
      <c r="BY15" s="1501" t="s">
        <v>347</v>
      </c>
      <c r="BZ15" s="1501">
        <v>5</v>
      </c>
    </row>
    <row r="16" spans="1:78" s="1501" customFormat="1" ht="17.100000000000001" customHeight="1" x14ac:dyDescent="0.25">
      <c r="A16" s="1491" t="s">
        <v>303</v>
      </c>
      <c r="B16" s="1502" t="s">
        <v>348</v>
      </c>
      <c r="C16" s="1727">
        <v>98914</v>
      </c>
      <c r="D16" s="1738">
        <v>99950</v>
      </c>
      <c r="E16" s="1494">
        <f t="shared" si="0"/>
        <v>101</v>
      </c>
      <c r="F16" s="1493">
        <v>86200</v>
      </c>
      <c r="G16" s="1494">
        <f t="shared" si="1"/>
        <v>87.1</v>
      </c>
      <c r="H16" s="1493">
        <v>13956</v>
      </c>
      <c r="I16" s="1494">
        <f t="shared" si="2"/>
        <v>14.1</v>
      </c>
      <c r="J16" s="1493">
        <v>100156</v>
      </c>
      <c r="K16" s="1494">
        <f t="shared" si="3"/>
        <v>101.3</v>
      </c>
      <c r="L16" s="1493">
        <v>87446</v>
      </c>
      <c r="M16" s="1494">
        <f t="shared" si="4"/>
        <v>88.4</v>
      </c>
      <c r="N16" s="1493">
        <v>88353</v>
      </c>
      <c r="O16" s="1494">
        <f t="shared" si="5"/>
        <v>89.3</v>
      </c>
      <c r="P16" s="1493">
        <v>87488</v>
      </c>
      <c r="Q16" s="1494">
        <f t="shared" si="6"/>
        <v>88.4</v>
      </c>
      <c r="R16" s="1493">
        <v>88027</v>
      </c>
      <c r="S16" s="1494">
        <f t="shared" si="7"/>
        <v>89</v>
      </c>
      <c r="T16" s="1493">
        <v>88353</v>
      </c>
      <c r="U16" s="1494">
        <f t="shared" si="8"/>
        <v>89.3</v>
      </c>
      <c r="V16" s="1493">
        <v>85773</v>
      </c>
      <c r="W16" s="1494">
        <f t="shared" si="9"/>
        <v>86.7</v>
      </c>
      <c r="X16" s="1493">
        <v>84685</v>
      </c>
      <c r="Y16" s="1494">
        <f t="shared" si="10"/>
        <v>85.6</v>
      </c>
      <c r="Z16" s="1493">
        <v>81259</v>
      </c>
      <c r="AA16" s="1494">
        <f t="shared" si="11"/>
        <v>82.2</v>
      </c>
      <c r="AB16" s="1493">
        <v>57566</v>
      </c>
      <c r="AC16" s="1494">
        <f t="shared" si="12"/>
        <v>58.2</v>
      </c>
      <c r="AD16" s="1493">
        <v>90283</v>
      </c>
      <c r="AE16" s="1494">
        <f t="shared" si="13"/>
        <v>91.3</v>
      </c>
      <c r="AF16" s="1493">
        <v>89444</v>
      </c>
      <c r="AG16" s="1494">
        <f t="shared" si="14"/>
        <v>90.4</v>
      </c>
      <c r="AH16" s="1429">
        <v>99134</v>
      </c>
      <c r="AI16" s="1493">
        <v>91767</v>
      </c>
      <c r="AJ16" s="1495">
        <f t="shared" si="15"/>
        <v>92.6</v>
      </c>
      <c r="AK16" s="1493">
        <v>93122</v>
      </c>
      <c r="AL16" s="1494">
        <f t="shared" si="16"/>
        <v>93.9</v>
      </c>
      <c r="AM16" s="1493">
        <v>93252</v>
      </c>
      <c r="AN16" s="1494">
        <f t="shared" si="17"/>
        <v>94.1</v>
      </c>
      <c r="AO16" s="1493">
        <v>80888</v>
      </c>
      <c r="AP16" s="1494">
        <f t="shared" si="18"/>
        <v>81.599999999999994</v>
      </c>
      <c r="AQ16" s="1493">
        <v>87708</v>
      </c>
      <c r="AR16" s="1494">
        <f t="shared" si="19"/>
        <v>88.5</v>
      </c>
      <c r="AS16" s="1493">
        <v>4621</v>
      </c>
      <c r="AT16" s="1494">
        <f t="shared" si="31"/>
        <v>4.661367442048137</v>
      </c>
      <c r="AU16" s="1493">
        <v>3118</v>
      </c>
      <c r="AV16" s="1493">
        <v>11206</v>
      </c>
      <c r="AW16" s="1493">
        <v>82008</v>
      </c>
      <c r="AX16" s="1494">
        <f t="shared" si="20"/>
        <v>82.7</v>
      </c>
      <c r="AY16" s="1493">
        <v>82072</v>
      </c>
      <c r="AZ16" s="1494">
        <f t="shared" si="21"/>
        <v>82.8</v>
      </c>
      <c r="BA16" s="1496">
        <v>104159</v>
      </c>
      <c r="BB16" s="1493">
        <v>97486</v>
      </c>
      <c r="BC16" s="1497">
        <f t="shared" si="22"/>
        <v>93.6</v>
      </c>
      <c r="BD16" s="1493">
        <v>98099</v>
      </c>
      <c r="BE16" s="1497">
        <f t="shared" si="23"/>
        <v>94.2</v>
      </c>
      <c r="BF16" s="1493">
        <v>98596</v>
      </c>
      <c r="BG16" s="1497">
        <f t="shared" si="24"/>
        <v>94.7</v>
      </c>
      <c r="BH16" s="1493">
        <v>36015</v>
      </c>
      <c r="BI16" s="1497">
        <f t="shared" si="25"/>
        <v>69.2</v>
      </c>
      <c r="BJ16" s="1493">
        <v>110889</v>
      </c>
      <c r="BK16" s="1493">
        <v>95472</v>
      </c>
      <c r="BL16" s="1498">
        <v>329399</v>
      </c>
      <c r="BM16" s="1493">
        <v>277670</v>
      </c>
      <c r="BN16" s="1499">
        <f t="shared" si="26"/>
        <v>84.295945039298843</v>
      </c>
      <c r="BO16" s="1493">
        <v>70933</v>
      </c>
      <c r="BP16" s="1497">
        <f t="shared" si="27"/>
        <v>71.7</v>
      </c>
      <c r="BQ16" s="1493">
        <v>78533</v>
      </c>
      <c r="BR16" s="1751">
        <f t="shared" si="28"/>
        <v>79.400000000000006</v>
      </c>
      <c r="BS16" s="1754">
        <v>51129</v>
      </c>
      <c r="BT16" s="1493">
        <v>13153</v>
      </c>
      <c r="BU16" s="1497">
        <f t="shared" si="29"/>
        <v>25.725126640458445</v>
      </c>
      <c r="BV16" s="1493">
        <v>3049</v>
      </c>
      <c r="BW16" s="1739">
        <f t="shared" si="30"/>
        <v>5.9633476109448651</v>
      </c>
      <c r="BX16" s="1500">
        <v>6</v>
      </c>
      <c r="BY16" s="1501" t="s">
        <v>345</v>
      </c>
      <c r="BZ16" s="1501">
        <v>6</v>
      </c>
    </row>
    <row r="17" spans="1:78" s="1501" customFormat="1" ht="17.100000000000001" customHeight="1" x14ac:dyDescent="0.25">
      <c r="A17" s="1491" t="s">
        <v>256</v>
      </c>
      <c r="B17" s="1502" t="s">
        <v>62</v>
      </c>
      <c r="C17" s="1727">
        <v>20480</v>
      </c>
      <c r="D17" s="1738">
        <v>9307</v>
      </c>
      <c r="E17" s="1494">
        <f t="shared" si="0"/>
        <v>45.4</v>
      </c>
      <c r="F17" s="1493">
        <v>8979</v>
      </c>
      <c r="G17" s="1494">
        <f t="shared" si="1"/>
        <v>43.8</v>
      </c>
      <c r="H17" s="1493">
        <v>103</v>
      </c>
      <c r="I17" s="1494">
        <f t="shared" si="2"/>
        <v>0.5</v>
      </c>
      <c r="J17" s="1493">
        <v>9082</v>
      </c>
      <c r="K17" s="1494">
        <f t="shared" si="3"/>
        <v>44.3</v>
      </c>
      <c r="L17" s="1493">
        <v>18127</v>
      </c>
      <c r="M17" s="1494">
        <f t="shared" si="4"/>
        <v>88.5</v>
      </c>
      <c r="N17" s="1493">
        <v>17497</v>
      </c>
      <c r="O17" s="1494">
        <f t="shared" si="5"/>
        <v>85.4</v>
      </c>
      <c r="P17" s="1493">
        <v>18196</v>
      </c>
      <c r="Q17" s="1494">
        <f t="shared" si="6"/>
        <v>88.8</v>
      </c>
      <c r="R17" s="1493">
        <v>17945</v>
      </c>
      <c r="S17" s="1494">
        <f t="shared" si="7"/>
        <v>87.6</v>
      </c>
      <c r="T17" s="1493">
        <v>17450</v>
      </c>
      <c r="U17" s="1494">
        <f t="shared" si="8"/>
        <v>85.2</v>
      </c>
      <c r="V17" s="1493">
        <v>17458</v>
      </c>
      <c r="W17" s="1494">
        <f t="shared" si="9"/>
        <v>85.2</v>
      </c>
      <c r="X17" s="1493">
        <v>17303</v>
      </c>
      <c r="Y17" s="1494">
        <f t="shared" si="10"/>
        <v>84.5</v>
      </c>
      <c r="Z17" s="1493">
        <v>16222</v>
      </c>
      <c r="AA17" s="1494">
        <f t="shared" si="11"/>
        <v>79.2</v>
      </c>
      <c r="AB17" s="1493">
        <v>12375</v>
      </c>
      <c r="AC17" s="1494">
        <f t="shared" si="12"/>
        <v>60.4</v>
      </c>
      <c r="AD17" s="1493">
        <v>18209</v>
      </c>
      <c r="AE17" s="1494">
        <f t="shared" si="13"/>
        <v>88.9</v>
      </c>
      <c r="AF17" s="1493">
        <v>18038</v>
      </c>
      <c r="AG17" s="1494">
        <f t="shared" si="14"/>
        <v>88.1</v>
      </c>
      <c r="AH17" s="1429">
        <v>21034</v>
      </c>
      <c r="AI17" s="1493">
        <v>18676</v>
      </c>
      <c r="AJ17" s="1495">
        <f t="shared" si="15"/>
        <v>88.8</v>
      </c>
      <c r="AK17" s="1493">
        <v>18476</v>
      </c>
      <c r="AL17" s="1494">
        <f t="shared" si="16"/>
        <v>87.8</v>
      </c>
      <c r="AM17" s="1493">
        <v>18801</v>
      </c>
      <c r="AN17" s="1494">
        <f t="shared" si="17"/>
        <v>89.4</v>
      </c>
      <c r="AO17" s="1493">
        <v>17627</v>
      </c>
      <c r="AP17" s="1494">
        <f t="shared" si="18"/>
        <v>83.8</v>
      </c>
      <c r="AQ17" s="1493">
        <v>18703</v>
      </c>
      <c r="AR17" s="1494">
        <f t="shared" si="19"/>
        <v>88.9</v>
      </c>
      <c r="AS17" s="1493">
        <v>193</v>
      </c>
      <c r="AT17" s="1494">
        <f t="shared" si="31"/>
        <v>0.9175620424075307</v>
      </c>
      <c r="AU17" s="1493">
        <v>257</v>
      </c>
      <c r="AV17" s="1493">
        <v>328</v>
      </c>
      <c r="AW17" s="1493">
        <v>18284</v>
      </c>
      <c r="AX17" s="1494">
        <f t="shared" si="20"/>
        <v>86.9</v>
      </c>
      <c r="AY17" s="1493">
        <v>18296</v>
      </c>
      <c r="AZ17" s="1494">
        <f t="shared" si="21"/>
        <v>87</v>
      </c>
      <c r="BA17" s="1496">
        <v>21859</v>
      </c>
      <c r="BB17" s="1493">
        <v>17539</v>
      </c>
      <c r="BC17" s="1497">
        <f t="shared" si="22"/>
        <v>80.2</v>
      </c>
      <c r="BD17" s="1493">
        <v>17456</v>
      </c>
      <c r="BE17" s="1497">
        <f t="shared" si="23"/>
        <v>79.900000000000006</v>
      </c>
      <c r="BF17" s="1493">
        <v>17299</v>
      </c>
      <c r="BG17" s="1497">
        <f t="shared" si="24"/>
        <v>79.099999999999994</v>
      </c>
      <c r="BH17" s="1493">
        <v>6149</v>
      </c>
      <c r="BI17" s="1497">
        <f t="shared" si="25"/>
        <v>56.3</v>
      </c>
      <c r="BJ17" s="1493">
        <v>8959</v>
      </c>
      <c r="BK17" s="1493">
        <v>6648</v>
      </c>
      <c r="BL17" s="1498">
        <v>35365</v>
      </c>
      <c r="BM17" s="1493">
        <v>17191</v>
      </c>
      <c r="BN17" s="1499">
        <f t="shared" si="26"/>
        <v>48.61020783260286</v>
      </c>
      <c r="BO17" s="1493">
        <v>13634</v>
      </c>
      <c r="BP17" s="1497">
        <f t="shared" si="27"/>
        <v>66.599999999999994</v>
      </c>
      <c r="BQ17" s="1493">
        <v>14096</v>
      </c>
      <c r="BR17" s="1751">
        <f t="shared" si="28"/>
        <v>68.8</v>
      </c>
      <c r="BS17" s="1754">
        <v>9645</v>
      </c>
      <c r="BT17" s="1493">
        <v>1777</v>
      </c>
      <c r="BU17" s="1497">
        <f t="shared" si="29"/>
        <v>18.424053913945048</v>
      </c>
      <c r="BV17" s="1493">
        <v>372</v>
      </c>
      <c r="BW17" s="1739">
        <f t="shared" si="30"/>
        <v>3.8569206842923793</v>
      </c>
      <c r="BX17" s="1500">
        <v>7</v>
      </c>
      <c r="BY17" s="1501" t="s">
        <v>347</v>
      </c>
      <c r="BZ17" s="1501">
        <v>7</v>
      </c>
    </row>
    <row r="18" spans="1:78" s="1501" customFormat="1" ht="17.100000000000001" customHeight="1" x14ac:dyDescent="0.25">
      <c r="A18" s="1491" t="s">
        <v>257</v>
      </c>
      <c r="B18" s="1503" t="s">
        <v>45</v>
      </c>
      <c r="C18" s="1727">
        <v>18494</v>
      </c>
      <c r="D18" s="1738">
        <v>18639</v>
      </c>
      <c r="E18" s="1494">
        <f t="shared" si="0"/>
        <v>100.8</v>
      </c>
      <c r="F18" s="1493">
        <v>18646</v>
      </c>
      <c r="G18" s="1494">
        <f t="shared" si="1"/>
        <v>100.8</v>
      </c>
      <c r="H18" s="1493">
        <v>44</v>
      </c>
      <c r="I18" s="1494">
        <f t="shared" si="2"/>
        <v>0.2</v>
      </c>
      <c r="J18" s="1493">
        <v>18690</v>
      </c>
      <c r="K18" s="1494">
        <f t="shared" si="3"/>
        <v>101.1</v>
      </c>
      <c r="L18" s="1493">
        <v>17942</v>
      </c>
      <c r="M18" s="1494">
        <f t="shared" si="4"/>
        <v>97</v>
      </c>
      <c r="N18" s="1493">
        <v>16568</v>
      </c>
      <c r="O18" s="1494">
        <f t="shared" si="5"/>
        <v>89.6</v>
      </c>
      <c r="P18" s="1493">
        <v>17943</v>
      </c>
      <c r="Q18" s="1494">
        <f t="shared" si="6"/>
        <v>97</v>
      </c>
      <c r="R18" s="1493">
        <v>17260</v>
      </c>
      <c r="S18" s="1494">
        <f t="shared" si="7"/>
        <v>93.3</v>
      </c>
      <c r="T18" s="1493">
        <v>16575</v>
      </c>
      <c r="U18" s="1494">
        <f t="shared" si="8"/>
        <v>89.6</v>
      </c>
      <c r="V18" s="1493">
        <v>17452</v>
      </c>
      <c r="W18" s="1494">
        <f t="shared" si="9"/>
        <v>94.4</v>
      </c>
      <c r="X18" s="1493">
        <v>16940</v>
      </c>
      <c r="Y18" s="1494">
        <f t="shared" si="10"/>
        <v>91.6</v>
      </c>
      <c r="Z18" s="1493">
        <v>15264</v>
      </c>
      <c r="AA18" s="1494">
        <f t="shared" si="11"/>
        <v>82.5</v>
      </c>
      <c r="AB18" s="1493">
        <v>11265</v>
      </c>
      <c r="AC18" s="1494">
        <f t="shared" si="12"/>
        <v>60.9</v>
      </c>
      <c r="AD18" s="1493">
        <v>18124</v>
      </c>
      <c r="AE18" s="1494">
        <f t="shared" si="13"/>
        <v>98</v>
      </c>
      <c r="AF18" s="1493">
        <v>17444</v>
      </c>
      <c r="AG18" s="1494">
        <f t="shared" si="14"/>
        <v>94.3</v>
      </c>
      <c r="AH18" s="1429">
        <v>18631</v>
      </c>
      <c r="AI18" s="1493">
        <v>17082</v>
      </c>
      <c r="AJ18" s="1495">
        <f t="shared" si="15"/>
        <v>91.7</v>
      </c>
      <c r="AK18" s="1493">
        <v>16863</v>
      </c>
      <c r="AL18" s="1494">
        <f t="shared" si="16"/>
        <v>90.5</v>
      </c>
      <c r="AM18" s="1493">
        <v>17159</v>
      </c>
      <c r="AN18" s="1494">
        <f t="shared" si="17"/>
        <v>92.1</v>
      </c>
      <c r="AO18" s="1493">
        <v>15710</v>
      </c>
      <c r="AP18" s="1494">
        <f t="shared" si="18"/>
        <v>84.3</v>
      </c>
      <c r="AQ18" s="1493">
        <v>16842</v>
      </c>
      <c r="AR18" s="1494">
        <f t="shared" si="19"/>
        <v>90.4</v>
      </c>
      <c r="AS18" s="1493">
        <v>114</v>
      </c>
      <c r="AT18" s="1494">
        <f t="shared" si="31"/>
        <v>0.6118834201062745</v>
      </c>
      <c r="AU18" s="1493">
        <v>229</v>
      </c>
      <c r="AV18" s="1493">
        <v>362</v>
      </c>
      <c r="AW18" s="1493">
        <v>15456</v>
      </c>
      <c r="AX18" s="1494">
        <f t="shared" si="20"/>
        <v>83</v>
      </c>
      <c r="AY18" s="1493">
        <v>15451</v>
      </c>
      <c r="AZ18" s="1494">
        <f t="shared" si="21"/>
        <v>82.9</v>
      </c>
      <c r="BA18" s="1496">
        <v>18877</v>
      </c>
      <c r="BB18" s="1493">
        <v>15939</v>
      </c>
      <c r="BC18" s="1497">
        <f t="shared" si="22"/>
        <v>84.4</v>
      </c>
      <c r="BD18" s="1493">
        <v>15859</v>
      </c>
      <c r="BE18" s="1497">
        <f t="shared" si="23"/>
        <v>84</v>
      </c>
      <c r="BF18" s="1493">
        <v>16045</v>
      </c>
      <c r="BG18" s="1497">
        <f t="shared" si="24"/>
        <v>85</v>
      </c>
      <c r="BH18" s="1493">
        <v>5790</v>
      </c>
      <c r="BI18" s="1497">
        <f t="shared" si="25"/>
        <v>61.3</v>
      </c>
      <c r="BJ18" s="1493">
        <v>6133</v>
      </c>
      <c r="BK18" s="1493">
        <v>5318</v>
      </c>
      <c r="BL18" s="1498">
        <v>38735</v>
      </c>
      <c r="BM18" s="1493">
        <v>24348</v>
      </c>
      <c r="BN18" s="1499">
        <f t="shared" si="26"/>
        <v>62.857880469859296</v>
      </c>
      <c r="BO18" s="1493">
        <v>14300</v>
      </c>
      <c r="BP18" s="1497">
        <f t="shared" si="27"/>
        <v>77.3</v>
      </c>
      <c r="BQ18" s="1493">
        <v>14430</v>
      </c>
      <c r="BR18" s="1751">
        <f t="shared" si="28"/>
        <v>78</v>
      </c>
      <c r="BS18" s="1754">
        <v>8786</v>
      </c>
      <c r="BT18" s="1493">
        <v>1107</v>
      </c>
      <c r="BU18" s="1497">
        <f t="shared" si="29"/>
        <v>12.599590257227408</v>
      </c>
      <c r="BV18" s="1493">
        <v>196</v>
      </c>
      <c r="BW18" s="1739">
        <f t="shared" si="30"/>
        <v>2.2308217618939219</v>
      </c>
      <c r="BX18" s="1500">
        <v>8</v>
      </c>
      <c r="BY18" s="1501" t="s">
        <v>347</v>
      </c>
      <c r="BZ18" s="1501">
        <v>8</v>
      </c>
    </row>
    <row r="19" spans="1:78" s="1501" customFormat="1" ht="17.100000000000001" customHeight="1" x14ac:dyDescent="0.25">
      <c r="A19" s="1491" t="s">
        <v>258</v>
      </c>
      <c r="B19" s="1492" t="s">
        <v>17</v>
      </c>
      <c r="C19" s="1727">
        <v>13869</v>
      </c>
      <c r="D19" s="1738">
        <v>13225</v>
      </c>
      <c r="E19" s="1494">
        <f t="shared" si="0"/>
        <v>95.4</v>
      </c>
      <c r="F19" s="1493">
        <v>12339</v>
      </c>
      <c r="G19" s="1494">
        <f t="shared" si="1"/>
        <v>89</v>
      </c>
      <c r="H19" s="1493">
        <v>791</v>
      </c>
      <c r="I19" s="1494">
        <f t="shared" si="2"/>
        <v>5.7</v>
      </c>
      <c r="J19" s="1493">
        <v>13130</v>
      </c>
      <c r="K19" s="1494">
        <f t="shared" si="3"/>
        <v>94.7</v>
      </c>
      <c r="L19" s="1493">
        <v>13721</v>
      </c>
      <c r="M19" s="1494">
        <f t="shared" si="4"/>
        <v>98.9</v>
      </c>
      <c r="N19" s="1493">
        <v>13592</v>
      </c>
      <c r="O19" s="1494">
        <f t="shared" si="5"/>
        <v>98</v>
      </c>
      <c r="P19" s="1493">
        <v>13723</v>
      </c>
      <c r="Q19" s="1494">
        <f t="shared" si="6"/>
        <v>98.9</v>
      </c>
      <c r="R19" s="1493">
        <v>13635</v>
      </c>
      <c r="S19" s="1494">
        <f t="shared" si="7"/>
        <v>98.3</v>
      </c>
      <c r="T19" s="1493">
        <v>13588</v>
      </c>
      <c r="U19" s="1494">
        <f t="shared" si="8"/>
        <v>98</v>
      </c>
      <c r="V19" s="1493">
        <v>13572</v>
      </c>
      <c r="W19" s="1494">
        <f t="shared" si="9"/>
        <v>97.9</v>
      </c>
      <c r="X19" s="1493">
        <v>13492</v>
      </c>
      <c r="Y19" s="1494">
        <f t="shared" si="10"/>
        <v>97.3</v>
      </c>
      <c r="Z19" s="1493">
        <v>11237</v>
      </c>
      <c r="AA19" s="1494">
        <f t="shared" si="11"/>
        <v>81</v>
      </c>
      <c r="AB19" s="1493">
        <v>9998</v>
      </c>
      <c r="AC19" s="1494">
        <f t="shared" si="12"/>
        <v>72.099999999999994</v>
      </c>
      <c r="AD19" s="1493">
        <v>13752</v>
      </c>
      <c r="AE19" s="1494">
        <f t="shared" si="13"/>
        <v>99.2</v>
      </c>
      <c r="AF19" s="1493">
        <v>13641</v>
      </c>
      <c r="AG19" s="1494">
        <f t="shared" si="14"/>
        <v>98.4</v>
      </c>
      <c r="AH19" s="1429">
        <v>15381</v>
      </c>
      <c r="AI19" s="1493">
        <v>14331</v>
      </c>
      <c r="AJ19" s="1495">
        <f t="shared" si="15"/>
        <v>93.2</v>
      </c>
      <c r="AK19" s="1493">
        <v>14330</v>
      </c>
      <c r="AL19" s="1494">
        <f t="shared" si="16"/>
        <v>93.2</v>
      </c>
      <c r="AM19" s="1493">
        <v>14353</v>
      </c>
      <c r="AN19" s="1494">
        <f t="shared" si="17"/>
        <v>93.3</v>
      </c>
      <c r="AO19" s="1493">
        <v>14397</v>
      </c>
      <c r="AP19" s="1494">
        <f t="shared" si="18"/>
        <v>93.6</v>
      </c>
      <c r="AQ19" s="1493">
        <v>14264</v>
      </c>
      <c r="AR19" s="1494">
        <f t="shared" si="19"/>
        <v>92.7</v>
      </c>
      <c r="AS19" s="1493">
        <v>63</v>
      </c>
      <c r="AT19" s="1494">
        <f t="shared" si="31"/>
        <v>0.40959625511995323</v>
      </c>
      <c r="AU19" s="1493">
        <v>73</v>
      </c>
      <c r="AV19" s="1493">
        <v>93</v>
      </c>
      <c r="AW19" s="1493">
        <v>14583</v>
      </c>
      <c r="AX19" s="1494">
        <f t="shared" si="20"/>
        <v>94.8</v>
      </c>
      <c r="AY19" s="1493">
        <v>14589</v>
      </c>
      <c r="AZ19" s="1494">
        <f t="shared" si="21"/>
        <v>94.9</v>
      </c>
      <c r="BA19" s="1496">
        <v>17450</v>
      </c>
      <c r="BB19" s="1493">
        <v>16229</v>
      </c>
      <c r="BC19" s="1497">
        <f t="shared" si="22"/>
        <v>93</v>
      </c>
      <c r="BD19" s="1493">
        <v>16234</v>
      </c>
      <c r="BE19" s="1497">
        <f t="shared" si="23"/>
        <v>93</v>
      </c>
      <c r="BF19" s="1493">
        <v>16239</v>
      </c>
      <c r="BG19" s="1497">
        <f t="shared" si="24"/>
        <v>93.1</v>
      </c>
      <c r="BH19" s="1493">
        <v>6694</v>
      </c>
      <c r="BI19" s="1497">
        <f t="shared" si="25"/>
        <v>76.7</v>
      </c>
      <c r="BJ19" s="1493">
        <v>7798</v>
      </c>
      <c r="BK19" s="1493">
        <v>10745</v>
      </c>
      <c r="BL19" s="1498">
        <v>57792</v>
      </c>
      <c r="BM19" s="1493">
        <v>48219</v>
      </c>
      <c r="BN19" s="1499">
        <f t="shared" si="26"/>
        <v>83.435423588039868</v>
      </c>
      <c r="BO19" s="1493">
        <v>10427</v>
      </c>
      <c r="BP19" s="1497">
        <f t="shared" si="27"/>
        <v>75.2</v>
      </c>
      <c r="BQ19" s="1493">
        <v>11924</v>
      </c>
      <c r="BR19" s="1751">
        <f t="shared" si="28"/>
        <v>86</v>
      </c>
      <c r="BS19" s="1754">
        <v>9914</v>
      </c>
      <c r="BT19" s="1493">
        <v>4386</v>
      </c>
      <c r="BU19" s="1497">
        <f t="shared" si="29"/>
        <v>44.240468025015126</v>
      </c>
      <c r="BV19" s="1493">
        <v>1820</v>
      </c>
      <c r="BW19" s="1739">
        <f t="shared" si="30"/>
        <v>18.357877748638291</v>
      </c>
      <c r="BX19" s="1500">
        <v>9</v>
      </c>
      <c r="BY19" s="1501" t="s">
        <v>345</v>
      </c>
      <c r="BZ19" s="1501">
        <v>9</v>
      </c>
    </row>
    <row r="20" spans="1:78" s="1501" customFormat="1" ht="17.100000000000001" customHeight="1" x14ac:dyDescent="0.25">
      <c r="A20" s="1491" t="s">
        <v>259</v>
      </c>
      <c r="B20" s="1492" t="s">
        <v>19</v>
      </c>
      <c r="C20" s="1727">
        <v>9282</v>
      </c>
      <c r="D20" s="1738">
        <v>8355</v>
      </c>
      <c r="E20" s="1494">
        <f t="shared" si="0"/>
        <v>90</v>
      </c>
      <c r="F20" s="1493">
        <v>8286</v>
      </c>
      <c r="G20" s="1494">
        <f t="shared" si="1"/>
        <v>89.3</v>
      </c>
      <c r="H20" s="1493">
        <v>55</v>
      </c>
      <c r="I20" s="1494">
        <f t="shared" si="2"/>
        <v>0.6</v>
      </c>
      <c r="J20" s="1493">
        <v>8341</v>
      </c>
      <c r="K20" s="1494">
        <f t="shared" si="3"/>
        <v>89.9</v>
      </c>
      <c r="L20" s="1493">
        <v>8470</v>
      </c>
      <c r="M20" s="1494">
        <f t="shared" si="4"/>
        <v>91.3</v>
      </c>
      <c r="N20" s="1493">
        <v>8929</v>
      </c>
      <c r="O20" s="1494">
        <f t="shared" si="5"/>
        <v>96.2</v>
      </c>
      <c r="P20" s="1493">
        <v>8464</v>
      </c>
      <c r="Q20" s="1494">
        <f t="shared" si="6"/>
        <v>91.2</v>
      </c>
      <c r="R20" s="1493">
        <v>8496</v>
      </c>
      <c r="S20" s="1494">
        <f t="shared" si="7"/>
        <v>91.5</v>
      </c>
      <c r="T20" s="1493">
        <v>8933</v>
      </c>
      <c r="U20" s="1494">
        <f t="shared" si="8"/>
        <v>96.2</v>
      </c>
      <c r="V20" s="1493">
        <v>8505</v>
      </c>
      <c r="W20" s="1494">
        <f t="shared" si="9"/>
        <v>91.6</v>
      </c>
      <c r="X20" s="1493">
        <v>8605</v>
      </c>
      <c r="Y20" s="1494">
        <f t="shared" si="10"/>
        <v>92.7</v>
      </c>
      <c r="Z20" s="1493">
        <v>8154</v>
      </c>
      <c r="AA20" s="1494">
        <f t="shared" si="11"/>
        <v>87.8</v>
      </c>
      <c r="AB20" s="1493">
        <v>6974</v>
      </c>
      <c r="AC20" s="1494">
        <f t="shared" si="12"/>
        <v>75.099999999999994</v>
      </c>
      <c r="AD20" s="1493">
        <v>8599</v>
      </c>
      <c r="AE20" s="1494">
        <f t="shared" si="13"/>
        <v>92.6</v>
      </c>
      <c r="AF20" s="1493">
        <v>8649</v>
      </c>
      <c r="AG20" s="1494">
        <f t="shared" si="14"/>
        <v>93.2</v>
      </c>
      <c r="AH20" s="1429">
        <v>9958</v>
      </c>
      <c r="AI20" s="1493">
        <v>9611</v>
      </c>
      <c r="AJ20" s="1495">
        <f t="shared" si="15"/>
        <v>96.5</v>
      </c>
      <c r="AK20" s="1493">
        <v>9631</v>
      </c>
      <c r="AL20" s="1494">
        <f t="shared" si="16"/>
        <v>96.7</v>
      </c>
      <c r="AM20" s="1493">
        <v>9637</v>
      </c>
      <c r="AN20" s="1494">
        <f t="shared" si="17"/>
        <v>96.8</v>
      </c>
      <c r="AO20" s="1493">
        <v>9339</v>
      </c>
      <c r="AP20" s="1494">
        <f t="shared" si="18"/>
        <v>93.8</v>
      </c>
      <c r="AQ20" s="1493">
        <v>9397</v>
      </c>
      <c r="AR20" s="1494">
        <f t="shared" si="19"/>
        <v>94.4</v>
      </c>
      <c r="AS20" s="1493">
        <v>197</v>
      </c>
      <c r="AT20" s="1494">
        <f t="shared" si="31"/>
        <v>1.9783088973689495</v>
      </c>
      <c r="AU20" s="1493">
        <v>90</v>
      </c>
      <c r="AV20" s="1493">
        <v>131</v>
      </c>
      <c r="AW20" s="1493">
        <v>9393</v>
      </c>
      <c r="AX20" s="1494">
        <f t="shared" si="20"/>
        <v>94.3</v>
      </c>
      <c r="AY20" s="1493">
        <v>9454</v>
      </c>
      <c r="AZ20" s="1494">
        <f t="shared" si="21"/>
        <v>94.9</v>
      </c>
      <c r="BA20" s="1496">
        <v>10848</v>
      </c>
      <c r="BB20" s="1493">
        <v>10029</v>
      </c>
      <c r="BC20" s="1497">
        <f t="shared" si="22"/>
        <v>92.5</v>
      </c>
      <c r="BD20" s="1493">
        <v>10102</v>
      </c>
      <c r="BE20" s="1497">
        <f t="shared" si="23"/>
        <v>93.1</v>
      </c>
      <c r="BF20" s="1493">
        <v>10061</v>
      </c>
      <c r="BG20" s="1497">
        <f t="shared" si="24"/>
        <v>92.7</v>
      </c>
      <c r="BH20" s="1493">
        <v>4041</v>
      </c>
      <c r="BI20" s="1497">
        <f t="shared" si="25"/>
        <v>74.5</v>
      </c>
      <c r="BJ20" s="1493">
        <v>3951</v>
      </c>
      <c r="BK20" s="1493">
        <v>7627</v>
      </c>
      <c r="BL20" s="1498">
        <v>47979</v>
      </c>
      <c r="BM20" s="1493">
        <v>38357</v>
      </c>
      <c r="BN20" s="1499">
        <f t="shared" si="26"/>
        <v>79.945392776006173</v>
      </c>
      <c r="BO20" s="1493">
        <v>7151</v>
      </c>
      <c r="BP20" s="1497">
        <f t="shared" si="27"/>
        <v>77</v>
      </c>
      <c r="BQ20" s="1493">
        <v>7629</v>
      </c>
      <c r="BR20" s="1751">
        <f t="shared" si="28"/>
        <v>82.2</v>
      </c>
      <c r="BS20" s="1754">
        <v>6531</v>
      </c>
      <c r="BT20" s="1493">
        <v>2491</v>
      </c>
      <c r="BU20" s="1497">
        <f t="shared" si="29"/>
        <v>38.141172867860973</v>
      </c>
      <c r="BV20" s="1493">
        <v>871</v>
      </c>
      <c r="BW20" s="1739">
        <f t="shared" si="30"/>
        <v>13.336395651508193</v>
      </c>
      <c r="BX20" s="1500">
        <v>10</v>
      </c>
      <c r="BY20" s="1501" t="s">
        <v>345</v>
      </c>
      <c r="BZ20" s="1501">
        <v>10</v>
      </c>
    </row>
    <row r="21" spans="1:78" s="1501" customFormat="1" ht="17.100000000000001" customHeight="1" x14ac:dyDescent="0.25">
      <c r="A21" s="1491" t="s">
        <v>260</v>
      </c>
      <c r="B21" s="1502" t="s">
        <v>63</v>
      </c>
      <c r="C21" s="1727">
        <v>7487</v>
      </c>
      <c r="D21" s="1738">
        <v>7160</v>
      </c>
      <c r="E21" s="1494">
        <f t="shared" si="0"/>
        <v>95.6</v>
      </c>
      <c r="F21" s="1493">
        <v>5767</v>
      </c>
      <c r="G21" s="1494">
        <f t="shared" si="1"/>
        <v>77</v>
      </c>
      <c r="H21" s="1493">
        <v>1239</v>
      </c>
      <c r="I21" s="1494">
        <f t="shared" si="2"/>
        <v>16.5</v>
      </c>
      <c r="J21" s="1493">
        <v>7006</v>
      </c>
      <c r="K21" s="1494">
        <f t="shared" si="3"/>
        <v>93.6</v>
      </c>
      <c r="L21" s="1493">
        <v>7173</v>
      </c>
      <c r="M21" s="1494">
        <f t="shared" si="4"/>
        <v>95.8</v>
      </c>
      <c r="N21" s="1493">
        <v>6798</v>
      </c>
      <c r="O21" s="1494">
        <f t="shared" si="5"/>
        <v>90.8</v>
      </c>
      <c r="P21" s="1493">
        <v>7172</v>
      </c>
      <c r="Q21" s="1494">
        <f t="shared" si="6"/>
        <v>95.8</v>
      </c>
      <c r="R21" s="1493">
        <v>7003</v>
      </c>
      <c r="S21" s="1494">
        <f t="shared" si="7"/>
        <v>93.5</v>
      </c>
      <c r="T21" s="1493">
        <v>6801</v>
      </c>
      <c r="U21" s="1494">
        <f t="shared" si="8"/>
        <v>90.8</v>
      </c>
      <c r="V21" s="1493">
        <v>6814</v>
      </c>
      <c r="W21" s="1494">
        <f t="shared" si="9"/>
        <v>91</v>
      </c>
      <c r="X21" s="1493">
        <v>6735</v>
      </c>
      <c r="Y21" s="1494">
        <f t="shared" si="10"/>
        <v>90</v>
      </c>
      <c r="Z21" s="1493">
        <v>6216</v>
      </c>
      <c r="AA21" s="1494">
        <f t="shared" si="11"/>
        <v>83</v>
      </c>
      <c r="AB21" s="1493">
        <v>4625</v>
      </c>
      <c r="AC21" s="1494">
        <f t="shared" si="12"/>
        <v>61.8</v>
      </c>
      <c r="AD21" s="1493">
        <v>7187</v>
      </c>
      <c r="AE21" s="1494">
        <f t="shared" si="13"/>
        <v>96</v>
      </c>
      <c r="AF21" s="1493">
        <v>7009</v>
      </c>
      <c r="AG21" s="1494">
        <f t="shared" si="14"/>
        <v>93.6</v>
      </c>
      <c r="AH21" s="1429">
        <v>7495</v>
      </c>
      <c r="AI21" s="1493">
        <v>7033</v>
      </c>
      <c r="AJ21" s="1495">
        <f t="shared" si="15"/>
        <v>93.8</v>
      </c>
      <c r="AK21" s="1493">
        <v>7042</v>
      </c>
      <c r="AL21" s="1494">
        <f t="shared" si="16"/>
        <v>94</v>
      </c>
      <c r="AM21" s="1493">
        <v>7049</v>
      </c>
      <c r="AN21" s="1494">
        <f t="shared" si="17"/>
        <v>94</v>
      </c>
      <c r="AO21" s="1493">
        <v>7293</v>
      </c>
      <c r="AP21" s="1494">
        <f t="shared" si="18"/>
        <v>97.3</v>
      </c>
      <c r="AQ21" s="1493">
        <v>6919</v>
      </c>
      <c r="AR21" s="1494">
        <f t="shared" si="19"/>
        <v>92.3</v>
      </c>
      <c r="AS21" s="1493">
        <v>65</v>
      </c>
      <c r="AT21" s="1494">
        <f t="shared" si="31"/>
        <v>0.86724482988659102</v>
      </c>
      <c r="AU21" s="1493">
        <v>108</v>
      </c>
      <c r="AV21" s="1493">
        <v>73</v>
      </c>
      <c r="AW21" s="1493">
        <v>6416</v>
      </c>
      <c r="AX21" s="1494">
        <f t="shared" si="20"/>
        <v>85.6</v>
      </c>
      <c r="AY21" s="1493">
        <v>6418</v>
      </c>
      <c r="AZ21" s="1494">
        <f t="shared" si="21"/>
        <v>85.6</v>
      </c>
      <c r="BA21" s="1496">
        <v>8021</v>
      </c>
      <c r="BB21" s="1493">
        <v>6834</v>
      </c>
      <c r="BC21" s="1497">
        <f t="shared" si="22"/>
        <v>85.2</v>
      </c>
      <c r="BD21" s="1493">
        <v>6835</v>
      </c>
      <c r="BE21" s="1497">
        <f t="shared" si="23"/>
        <v>85.2</v>
      </c>
      <c r="BF21" s="1493">
        <v>6896</v>
      </c>
      <c r="BG21" s="1497">
        <f t="shared" si="24"/>
        <v>86</v>
      </c>
      <c r="BH21" s="1493">
        <v>2600</v>
      </c>
      <c r="BI21" s="1497">
        <f t="shared" si="25"/>
        <v>64.8</v>
      </c>
      <c r="BJ21" s="1493">
        <v>4060</v>
      </c>
      <c r="BK21" s="1493">
        <v>3662</v>
      </c>
      <c r="BL21" s="1498">
        <v>13446</v>
      </c>
      <c r="BM21" s="1493">
        <v>9116</v>
      </c>
      <c r="BN21" s="1499">
        <f t="shared" si="26"/>
        <v>67.797114383459771</v>
      </c>
      <c r="BO21" s="1493">
        <v>5212</v>
      </c>
      <c r="BP21" s="1497">
        <f t="shared" si="27"/>
        <v>69.599999999999994</v>
      </c>
      <c r="BQ21" s="1493">
        <v>5931</v>
      </c>
      <c r="BR21" s="1751">
        <f t="shared" si="28"/>
        <v>79.2</v>
      </c>
      <c r="BS21" s="1754">
        <v>3889</v>
      </c>
      <c r="BT21" s="1493">
        <v>1605</v>
      </c>
      <c r="BU21" s="1497">
        <f t="shared" si="29"/>
        <v>41.270249421445101</v>
      </c>
      <c r="BV21" s="1493">
        <v>457</v>
      </c>
      <c r="BW21" s="1739">
        <f t="shared" si="30"/>
        <v>11.75109282591926</v>
      </c>
      <c r="BX21" s="1500">
        <v>11</v>
      </c>
      <c r="BY21" s="1501" t="s">
        <v>344</v>
      </c>
      <c r="BZ21" s="1501">
        <v>11</v>
      </c>
    </row>
    <row r="22" spans="1:78" s="1501" customFormat="1" ht="17.100000000000001" customHeight="1" x14ac:dyDescent="0.25">
      <c r="A22" s="1491" t="s">
        <v>261</v>
      </c>
      <c r="B22" s="1492" t="s">
        <v>21</v>
      </c>
      <c r="C22" s="1727">
        <v>6513</v>
      </c>
      <c r="D22" s="1738">
        <v>6365</v>
      </c>
      <c r="E22" s="1494">
        <f t="shared" si="0"/>
        <v>97.7</v>
      </c>
      <c r="F22" s="1493">
        <v>6261</v>
      </c>
      <c r="G22" s="1494">
        <f t="shared" si="1"/>
        <v>96.1</v>
      </c>
      <c r="H22" s="1493">
        <v>32</v>
      </c>
      <c r="I22" s="1494">
        <f t="shared" si="2"/>
        <v>0.5</v>
      </c>
      <c r="J22" s="1493">
        <v>6293</v>
      </c>
      <c r="K22" s="1494">
        <f t="shared" si="3"/>
        <v>96.6</v>
      </c>
      <c r="L22" s="1493">
        <v>6298</v>
      </c>
      <c r="M22" s="1494">
        <f t="shared" si="4"/>
        <v>96.7</v>
      </c>
      <c r="N22" s="1493">
        <v>6287</v>
      </c>
      <c r="O22" s="1494">
        <f t="shared" si="5"/>
        <v>96.5</v>
      </c>
      <c r="P22" s="1493">
        <v>6298</v>
      </c>
      <c r="Q22" s="1494">
        <f t="shared" si="6"/>
        <v>96.7</v>
      </c>
      <c r="R22" s="1493">
        <v>6311</v>
      </c>
      <c r="S22" s="1494">
        <f t="shared" si="7"/>
        <v>96.9</v>
      </c>
      <c r="T22" s="1493">
        <v>6288</v>
      </c>
      <c r="U22" s="1494">
        <f t="shared" si="8"/>
        <v>96.5</v>
      </c>
      <c r="V22" s="1493">
        <v>6277</v>
      </c>
      <c r="W22" s="1494">
        <f t="shared" si="9"/>
        <v>96.4</v>
      </c>
      <c r="X22" s="1493">
        <v>6389</v>
      </c>
      <c r="Y22" s="1494">
        <f t="shared" si="10"/>
        <v>98.1</v>
      </c>
      <c r="Z22" s="1493">
        <v>5603</v>
      </c>
      <c r="AA22" s="1494">
        <f t="shared" si="11"/>
        <v>86</v>
      </c>
      <c r="AB22" s="1493">
        <v>4681</v>
      </c>
      <c r="AC22" s="1494">
        <f t="shared" si="12"/>
        <v>71.900000000000006</v>
      </c>
      <c r="AD22" s="1493">
        <v>6364</v>
      </c>
      <c r="AE22" s="1494">
        <f t="shared" si="13"/>
        <v>97.7</v>
      </c>
      <c r="AF22" s="1493">
        <v>6375</v>
      </c>
      <c r="AG22" s="1494">
        <f t="shared" si="14"/>
        <v>97.9</v>
      </c>
      <c r="AH22" s="1429">
        <v>6661</v>
      </c>
      <c r="AI22" s="1493">
        <v>6460</v>
      </c>
      <c r="AJ22" s="1495">
        <f t="shared" si="15"/>
        <v>97</v>
      </c>
      <c r="AK22" s="1493">
        <v>6440</v>
      </c>
      <c r="AL22" s="1494">
        <f t="shared" si="16"/>
        <v>96.7</v>
      </c>
      <c r="AM22" s="1493">
        <v>6477</v>
      </c>
      <c r="AN22" s="1494">
        <f t="shared" si="17"/>
        <v>97.2</v>
      </c>
      <c r="AO22" s="1493">
        <v>6625</v>
      </c>
      <c r="AP22" s="1494">
        <f t="shared" si="18"/>
        <v>99.5</v>
      </c>
      <c r="AQ22" s="1493">
        <v>6455</v>
      </c>
      <c r="AR22" s="1494">
        <f t="shared" si="19"/>
        <v>96.9</v>
      </c>
      <c r="AS22" s="1493">
        <v>13</v>
      </c>
      <c r="AT22" s="1494">
        <f t="shared" si="31"/>
        <v>0.19516589100735626</v>
      </c>
      <c r="AU22" s="1493">
        <v>14</v>
      </c>
      <c r="AV22" s="1493">
        <v>26</v>
      </c>
      <c r="AW22" s="1493">
        <v>6461</v>
      </c>
      <c r="AX22" s="1494">
        <f t="shared" si="20"/>
        <v>97</v>
      </c>
      <c r="AY22" s="1493">
        <v>6463</v>
      </c>
      <c r="AZ22" s="1494">
        <f t="shared" si="21"/>
        <v>97</v>
      </c>
      <c r="BA22" s="1496">
        <v>7297</v>
      </c>
      <c r="BB22" s="1493">
        <v>7027</v>
      </c>
      <c r="BC22" s="1497">
        <f t="shared" si="22"/>
        <v>96.3</v>
      </c>
      <c r="BD22" s="1493">
        <v>6980</v>
      </c>
      <c r="BE22" s="1497">
        <f t="shared" si="23"/>
        <v>95.7</v>
      </c>
      <c r="BF22" s="1493">
        <v>7017</v>
      </c>
      <c r="BG22" s="1497">
        <f t="shared" si="24"/>
        <v>96.2</v>
      </c>
      <c r="BH22" s="1493">
        <v>2721</v>
      </c>
      <c r="BI22" s="1497">
        <f t="shared" si="25"/>
        <v>74.599999999999994</v>
      </c>
      <c r="BJ22" s="1493">
        <v>1119</v>
      </c>
      <c r="BK22" s="1493">
        <v>1364</v>
      </c>
      <c r="BL22" s="1498">
        <v>9326</v>
      </c>
      <c r="BM22" s="1493">
        <v>7543</v>
      </c>
      <c r="BN22" s="1499">
        <f t="shared" si="26"/>
        <v>80.881406819644013</v>
      </c>
      <c r="BO22" s="1493">
        <v>4833</v>
      </c>
      <c r="BP22" s="1497">
        <f t="shared" si="27"/>
        <v>74.2</v>
      </c>
      <c r="BQ22" s="1493">
        <v>5219</v>
      </c>
      <c r="BR22" s="1751">
        <f t="shared" si="28"/>
        <v>80.099999999999994</v>
      </c>
      <c r="BS22" s="1754">
        <v>3345</v>
      </c>
      <c r="BT22" s="1493">
        <v>1142</v>
      </c>
      <c r="BU22" s="1497">
        <f t="shared" si="29"/>
        <v>34.140508221225716</v>
      </c>
      <c r="BV22" s="1493">
        <v>330</v>
      </c>
      <c r="BW22" s="1739">
        <f t="shared" si="30"/>
        <v>9.8654708520179373</v>
      </c>
      <c r="BX22" s="1500">
        <v>12</v>
      </c>
      <c r="BY22" s="1501" t="s">
        <v>346</v>
      </c>
      <c r="BZ22" s="1501">
        <v>12</v>
      </c>
    </row>
    <row r="23" spans="1:78" s="1501" customFormat="1" ht="17.100000000000001" customHeight="1" x14ac:dyDescent="0.25">
      <c r="A23" s="1491" t="s">
        <v>262</v>
      </c>
      <c r="B23" s="1502" t="s">
        <v>18</v>
      </c>
      <c r="C23" s="1727">
        <v>21088</v>
      </c>
      <c r="D23" s="1738">
        <v>15193</v>
      </c>
      <c r="E23" s="1494">
        <f t="shared" si="0"/>
        <v>72</v>
      </c>
      <c r="F23" s="1493">
        <v>13267</v>
      </c>
      <c r="G23" s="1494">
        <f t="shared" si="1"/>
        <v>62.9</v>
      </c>
      <c r="H23" s="1493">
        <v>1602</v>
      </c>
      <c r="I23" s="1494">
        <f t="shared" si="2"/>
        <v>7.6</v>
      </c>
      <c r="J23" s="1493">
        <v>14869</v>
      </c>
      <c r="K23" s="1494">
        <f t="shared" si="3"/>
        <v>70.5</v>
      </c>
      <c r="L23" s="1493">
        <v>18493</v>
      </c>
      <c r="M23" s="1494">
        <f t="shared" si="4"/>
        <v>87.7</v>
      </c>
      <c r="N23" s="1493">
        <v>19069</v>
      </c>
      <c r="O23" s="1494">
        <f t="shared" si="5"/>
        <v>90.4</v>
      </c>
      <c r="P23" s="1493">
        <v>18480</v>
      </c>
      <c r="Q23" s="1494">
        <f t="shared" si="6"/>
        <v>87.6</v>
      </c>
      <c r="R23" s="1493">
        <v>18534</v>
      </c>
      <c r="S23" s="1494">
        <f t="shared" si="7"/>
        <v>87.9</v>
      </c>
      <c r="T23" s="1493">
        <v>19046</v>
      </c>
      <c r="U23" s="1494">
        <f t="shared" si="8"/>
        <v>90.3</v>
      </c>
      <c r="V23" s="1493">
        <v>18103</v>
      </c>
      <c r="W23" s="1494">
        <f t="shared" si="9"/>
        <v>85.8</v>
      </c>
      <c r="X23" s="1493">
        <v>18311</v>
      </c>
      <c r="Y23" s="1494">
        <f t="shared" si="10"/>
        <v>86.8</v>
      </c>
      <c r="Z23" s="1493">
        <v>17887</v>
      </c>
      <c r="AA23" s="1494">
        <f t="shared" si="11"/>
        <v>84.8</v>
      </c>
      <c r="AB23" s="1493">
        <v>14151</v>
      </c>
      <c r="AC23" s="1494">
        <f t="shared" si="12"/>
        <v>67.099999999999994</v>
      </c>
      <c r="AD23" s="1493">
        <v>18571</v>
      </c>
      <c r="AE23" s="1494">
        <f t="shared" si="13"/>
        <v>88.1</v>
      </c>
      <c r="AF23" s="1493">
        <v>18645</v>
      </c>
      <c r="AG23" s="1494">
        <f t="shared" si="14"/>
        <v>88.4</v>
      </c>
      <c r="AH23" s="1429">
        <v>22008</v>
      </c>
      <c r="AI23" s="1493">
        <v>19923</v>
      </c>
      <c r="AJ23" s="1495">
        <f t="shared" si="15"/>
        <v>90.5</v>
      </c>
      <c r="AK23" s="1493">
        <v>18926</v>
      </c>
      <c r="AL23" s="1494">
        <f t="shared" si="16"/>
        <v>86</v>
      </c>
      <c r="AM23" s="1493">
        <v>19551</v>
      </c>
      <c r="AN23" s="1494">
        <f t="shared" si="17"/>
        <v>88.8</v>
      </c>
      <c r="AO23" s="1493">
        <v>18985</v>
      </c>
      <c r="AP23" s="1494">
        <f t="shared" si="18"/>
        <v>86.3</v>
      </c>
      <c r="AQ23" s="1493">
        <v>19801</v>
      </c>
      <c r="AR23" s="1494">
        <f t="shared" si="19"/>
        <v>90</v>
      </c>
      <c r="AS23" s="1493">
        <v>74</v>
      </c>
      <c r="AT23" s="1494">
        <f t="shared" si="31"/>
        <v>0.33624136677571792</v>
      </c>
      <c r="AU23" s="1493">
        <v>106</v>
      </c>
      <c r="AV23" s="1493">
        <v>133</v>
      </c>
      <c r="AW23" s="1493">
        <v>19042</v>
      </c>
      <c r="AX23" s="1494">
        <f t="shared" si="20"/>
        <v>86.5</v>
      </c>
      <c r="AY23" s="1493">
        <v>18961</v>
      </c>
      <c r="AZ23" s="1494">
        <f t="shared" si="21"/>
        <v>86.2</v>
      </c>
      <c r="BA23" s="1496">
        <v>22702</v>
      </c>
      <c r="BB23" s="1493">
        <v>20256</v>
      </c>
      <c r="BC23" s="1497">
        <f t="shared" si="22"/>
        <v>89.2</v>
      </c>
      <c r="BD23" s="1493">
        <v>20182</v>
      </c>
      <c r="BE23" s="1497">
        <f t="shared" si="23"/>
        <v>88.9</v>
      </c>
      <c r="BF23" s="1493">
        <v>20275</v>
      </c>
      <c r="BG23" s="1497">
        <f t="shared" si="24"/>
        <v>89.3</v>
      </c>
      <c r="BH23" s="1493">
        <v>7286</v>
      </c>
      <c r="BI23" s="1497">
        <f t="shared" si="25"/>
        <v>64.2</v>
      </c>
      <c r="BJ23" s="1493">
        <v>4398</v>
      </c>
      <c r="BK23" s="1493">
        <v>10070</v>
      </c>
      <c r="BL23" s="1498">
        <v>50150</v>
      </c>
      <c r="BM23" s="1493">
        <v>47460</v>
      </c>
      <c r="BN23" s="1499">
        <f t="shared" si="26"/>
        <v>94.636091724825519</v>
      </c>
      <c r="BO23" s="1493">
        <v>15052</v>
      </c>
      <c r="BP23" s="1497">
        <f t="shared" si="27"/>
        <v>71.400000000000006</v>
      </c>
      <c r="BQ23" s="1493">
        <v>16038</v>
      </c>
      <c r="BR23" s="1751">
        <f t="shared" si="28"/>
        <v>76.099999999999994</v>
      </c>
      <c r="BS23" s="1754">
        <v>10882</v>
      </c>
      <c r="BT23" s="1493">
        <v>3735</v>
      </c>
      <c r="BU23" s="1497">
        <f t="shared" si="29"/>
        <v>34.322734791398638</v>
      </c>
      <c r="BV23" s="1493">
        <v>916</v>
      </c>
      <c r="BW23" s="1739">
        <f t="shared" si="30"/>
        <v>8.4175702995772834</v>
      </c>
      <c r="BX23" s="1500">
        <v>13</v>
      </c>
      <c r="BY23" s="1501" t="s">
        <v>352</v>
      </c>
      <c r="BZ23" s="1501">
        <v>13</v>
      </c>
    </row>
    <row r="24" spans="1:78" s="1501" customFormat="1" ht="17.100000000000001" customHeight="1" x14ac:dyDescent="0.25">
      <c r="A24" s="1491" t="s">
        <v>263</v>
      </c>
      <c r="B24" s="1502" t="s">
        <v>22</v>
      </c>
      <c r="C24" s="1727">
        <v>22036</v>
      </c>
      <c r="D24" s="1738">
        <v>21041</v>
      </c>
      <c r="E24" s="1494">
        <f t="shared" si="0"/>
        <v>95.5</v>
      </c>
      <c r="F24" s="1493">
        <v>19987</v>
      </c>
      <c r="G24" s="1494">
        <f t="shared" si="1"/>
        <v>90.7</v>
      </c>
      <c r="H24" s="1493">
        <v>400</v>
      </c>
      <c r="I24" s="1494">
        <f t="shared" si="2"/>
        <v>1.8</v>
      </c>
      <c r="J24" s="1493">
        <v>20387</v>
      </c>
      <c r="K24" s="1494">
        <f t="shared" si="3"/>
        <v>92.5</v>
      </c>
      <c r="L24" s="1493">
        <v>23669</v>
      </c>
      <c r="M24" s="1494">
        <f t="shared" si="4"/>
        <v>107.4</v>
      </c>
      <c r="N24" s="1493">
        <v>22343</v>
      </c>
      <c r="O24" s="1494">
        <f t="shared" si="5"/>
        <v>101.4</v>
      </c>
      <c r="P24" s="1493">
        <v>23664</v>
      </c>
      <c r="Q24" s="1494">
        <f t="shared" si="6"/>
        <v>107.4</v>
      </c>
      <c r="R24" s="1493">
        <v>23274</v>
      </c>
      <c r="S24" s="1494">
        <f t="shared" si="7"/>
        <v>105.6</v>
      </c>
      <c r="T24" s="1493">
        <v>22352</v>
      </c>
      <c r="U24" s="1494">
        <f t="shared" si="8"/>
        <v>101.4</v>
      </c>
      <c r="V24" s="1493">
        <v>22786</v>
      </c>
      <c r="W24" s="1494">
        <f t="shared" si="9"/>
        <v>103.4</v>
      </c>
      <c r="X24" s="1493">
        <v>22531</v>
      </c>
      <c r="Y24" s="1494">
        <f t="shared" si="10"/>
        <v>102.2</v>
      </c>
      <c r="Z24" s="1493">
        <v>19771</v>
      </c>
      <c r="AA24" s="1494">
        <f t="shared" si="11"/>
        <v>89.7</v>
      </c>
      <c r="AB24" s="1493">
        <v>15155</v>
      </c>
      <c r="AC24" s="1494">
        <f t="shared" si="12"/>
        <v>68.8</v>
      </c>
      <c r="AD24" s="1493">
        <v>23803</v>
      </c>
      <c r="AE24" s="1494">
        <f t="shared" si="13"/>
        <v>108</v>
      </c>
      <c r="AF24" s="1493">
        <v>23297</v>
      </c>
      <c r="AG24" s="1494">
        <f t="shared" si="14"/>
        <v>105.7</v>
      </c>
      <c r="AH24" s="1429">
        <v>22925</v>
      </c>
      <c r="AI24" s="1493">
        <v>22649</v>
      </c>
      <c r="AJ24" s="1495">
        <f t="shared" si="15"/>
        <v>98.8</v>
      </c>
      <c r="AK24" s="1493">
        <v>22425</v>
      </c>
      <c r="AL24" s="1494">
        <f t="shared" si="16"/>
        <v>97.8</v>
      </c>
      <c r="AM24" s="1493">
        <v>22669</v>
      </c>
      <c r="AN24" s="1494">
        <f t="shared" si="17"/>
        <v>98.9</v>
      </c>
      <c r="AO24" s="1493">
        <v>21348</v>
      </c>
      <c r="AP24" s="1494">
        <f t="shared" si="18"/>
        <v>93.1</v>
      </c>
      <c r="AQ24" s="1493">
        <v>22311</v>
      </c>
      <c r="AR24" s="1494">
        <f t="shared" si="19"/>
        <v>97.3</v>
      </c>
      <c r="AS24" s="1493">
        <v>242</v>
      </c>
      <c r="AT24" s="1494">
        <f t="shared" si="31"/>
        <v>1.0556161395856052</v>
      </c>
      <c r="AU24" s="1493">
        <v>396</v>
      </c>
      <c r="AV24" s="1493">
        <v>397</v>
      </c>
      <c r="AW24" s="1493">
        <v>20832</v>
      </c>
      <c r="AX24" s="1494">
        <f t="shared" si="20"/>
        <v>90.9</v>
      </c>
      <c r="AY24" s="1493">
        <v>20848</v>
      </c>
      <c r="AZ24" s="1494">
        <f t="shared" si="21"/>
        <v>90.9</v>
      </c>
      <c r="BA24" s="1496">
        <v>24608</v>
      </c>
      <c r="BB24" s="1493">
        <v>21523</v>
      </c>
      <c r="BC24" s="1497">
        <f t="shared" si="22"/>
        <v>87.5</v>
      </c>
      <c r="BD24" s="1493">
        <v>21488</v>
      </c>
      <c r="BE24" s="1497">
        <f t="shared" si="23"/>
        <v>87.3</v>
      </c>
      <c r="BF24" s="1493">
        <v>21628</v>
      </c>
      <c r="BG24" s="1497">
        <f t="shared" si="24"/>
        <v>87.9</v>
      </c>
      <c r="BH24" s="1493">
        <v>8558</v>
      </c>
      <c r="BI24" s="1497">
        <f t="shared" si="25"/>
        <v>69.599999999999994</v>
      </c>
      <c r="BJ24" s="1493">
        <v>4157</v>
      </c>
      <c r="BK24" s="1493">
        <v>8027</v>
      </c>
      <c r="BL24" s="1498">
        <v>30611</v>
      </c>
      <c r="BM24" s="1493">
        <v>30443</v>
      </c>
      <c r="BN24" s="1499">
        <f t="shared" si="26"/>
        <v>99.451177681225701</v>
      </c>
      <c r="BO24" s="1493">
        <v>17623</v>
      </c>
      <c r="BP24" s="1497">
        <f t="shared" si="27"/>
        <v>80</v>
      </c>
      <c r="BQ24" s="1493">
        <v>19301</v>
      </c>
      <c r="BR24" s="1751">
        <f t="shared" si="28"/>
        <v>87.6</v>
      </c>
      <c r="BS24" s="1754">
        <v>10009</v>
      </c>
      <c r="BT24" s="1493">
        <v>2737</v>
      </c>
      <c r="BU24" s="1497">
        <f t="shared" si="29"/>
        <v>27.345389149765211</v>
      </c>
      <c r="BV24" s="1493">
        <v>747</v>
      </c>
      <c r="BW24" s="1739">
        <f t="shared" si="30"/>
        <v>7.4632830452592671</v>
      </c>
      <c r="BX24" s="1500">
        <v>14</v>
      </c>
      <c r="BY24" s="1501" t="s">
        <v>347</v>
      </c>
      <c r="BZ24" s="1501">
        <v>14</v>
      </c>
    </row>
    <row r="25" spans="1:78" s="1501" customFormat="1" ht="17.100000000000001" customHeight="1" x14ac:dyDescent="0.25">
      <c r="A25" s="1491" t="s">
        <v>264</v>
      </c>
      <c r="B25" s="1502" t="s">
        <v>24</v>
      </c>
      <c r="C25" s="1727">
        <v>10459</v>
      </c>
      <c r="D25" s="1738">
        <v>8314</v>
      </c>
      <c r="E25" s="1494">
        <f t="shared" si="0"/>
        <v>79.5</v>
      </c>
      <c r="F25" s="1493">
        <v>4408</v>
      </c>
      <c r="G25" s="1494">
        <f t="shared" si="1"/>
        <v>42.1</v>
      </c>
      <c r="H25" s="1493">
        <v>1907</v>
      </c>
      <c r="I25" s="1494">
        <f t="shared" si="2"/>
        <v>18.2</v>
      </c>
      <c r="J25" s="1493">
        <v>6315</v>
      </c>
      <c r="K25" s="1494">
        <f t="shared" si="3"/>
        <v>60.4</v>
      </c>
      <c r="L25" s="1493">
        <v>9854</v>
      </c>
      <c r="M25" s="1494">
        <f t="shared" si="4"/>
        <v>94.2</v>
      </c>
      <c r="N25" s="1493">
        <v>8663</v>
      </c>
      <c r="O25" s="1494">
        <f t="shared" si="5"/>
        <v>82.8</v>
      </c>
      <c r="P25" s="1493">
        <v>9851</v>
      </c>
      <c r="Q25" s="1494">
        <f t="shared" si="6"/>
        <v>94.2</v>
      </c>
      <c r="R25" s="1493">
        <v>9321</v>
      </c>
      <c r="S25" s="1494">
        <f t="shared" si="7"/>
        <v>89.1</v>
      </c>
      <c r="T25" s="1493">
        <v>8666</v>
      </c>
      <c r="U25" s="1494">
        <f t="shared" si="8"/>
        <v>82.9</v>
      </c>
      <c r="V25" s="1493">
        <v>7965</v>
      </c>
      <c r="W25" s="1494">
        <f t="shared" si="9"/>
        <v>76.2</v>
      </c>
      <c r="X25" s="1493">
        <v>8008</v>
      </c>
      <c r="Y25" s="1494">
        <f t="shared" si="10"/>
        <v>76.599999999999994</v>
      </c>
      <c r="Z25" s="1493">
        <v>8992</v>
      </c>
      <c r="AA25" s="1494">
        <f t="shared" si="11"/>
        <v>86</v>
      </c>
      <c r="AB25" s="1493">
        <v>5455</v>
      </c>
      <c r="AC25" s="1494">
        <f t="shared" si="12"/>
        <v>52.2</v>
      </c>
      <c r="AD25" s="1493">
        <v>9867</v>
      </c>
      <c r="AE25" s="1494">
        <f t="shared" si="13"/>
        <v>94.3</v>
      </c>
      <c r="AF25" s="1493">
        <v>9311</v>
      </c>
      <c r="AG25" s="1494">
        <f t="shared" si="14"/>
        <v>89</v>
      </c>
      <c r="AH25" s="1429">
        <v>11791</v>
      </c>
      <c r="AI25" s="1493">
        <v>10158</v>
      </c>
      <c r="AJ25" s="1495">
        <f t="shared" si="15"/>
        <v>86.2</v>
      </c>
      <c r="AK25" s="1493">
        <v>10124</v>
      </c>
      <c r="AL25" s="1494">
        <f t="shared" si="16"/>
        <v>85.9</v>
      </c>
      <c r="AM25" s="1493">
        <v>10154</v>
      </c>
      <c r="AN25" s="1494">
        <f t="shared" si="17"/>
        <v>86.1</v>
      </c>
      <c r="AO25" s="1493">
        <v>10426</v>
      </c>
      <c r="AP25" s="1494">
        <f t="shared" si="18"/>
        <v>88.4</v>
      </c>
      <c r="AQ25" s="1493">
        <v>9746</v>
      </c>
      <c r="AR25" s="1494">
        <f t="shared" si="19"/>
        <v>82.7</v>
      </c>
      <c r="AS25" s="1493">
        <v>183</v>
      </c>
      <c r="AT25" s="1494">
        <f t="shared" si="31"/>
        <v>1.5520312102451022</v>
      </c>
      <c r="AU25" s="1493">
        <v>588</v>
      </c>
      <c r="AV25" s="1493">
        <v>87</v>
      </c>
      <c r="AW25" s="1493">
        <v>7136</v>
      </c>
      <c r="AX25" s="1494">
        <f t="shared" si="20"/>
        <v>60.5</v>
      </c>
      <c r="AY25" s="1493">
        <v>7137</v>
      </c>
      <c r="AZ25" s="1494">
        <f t="shared" si="21"/>
        <v>60.5</v>
      </c>
      <c r="BA25" s="1496">
        <v>12901</v>
      </c>
      <c r="BB25" s="1493">
        <v>8208</v>
      </c>
      <c r="BC25" s="1497">
        <f t="shared" si="22"/>
        <v>63.6</v>
      </c>
      <c r="BD25" s="1493">
        <v>8207</v>
      </c>
      <c r="BE25" s="1497">
        <f t="shared" si="23"/>
        <v>63.6</v>
      </c>
      <c r="BF25" s="1493">
        <v>8280</v>
      </c>
      <c r="BG25" s="1497">
        <f t="shared" si="24"/>
        <v>64.2</v>
      </c>
      <c r="BH25" s="1493">
        <v>2922</v>
      </c>
      <c r="BI25" s="1497">
        <f t="shared" si="25"/>
        <v>45.3</v>
      </c>
      <c r="BJ25" s="1493">
        <v>8196</v>
      </c>
      <c r="BK25" s="1493">
        <v>3926</v>
      </c>
      <c r="BL25" s="1498">
        <v>11857</v>
      </c>
      <c r="BM25" s="1493">
        <v>7854</v>
      </c>
      <c r="BN25" s="1499">
        <f t="shared" si="26"/>
        <v>66.239352281352794</v>
      </c>
      <c r="BO25" s="1493">
        <v>6098</v>
      </c>
      <c r="BP25" s="1497">
        <f t="shared" si="27"/>
        <v>58.3</v>
      </c>
      <c r="BQ25" s="1493">
        <v>6101</v>
      </c>
      <c r="BR25" s="1751">
        <f t="shared" si="28"/>
        <v>58.3</v>
      </c>
      <c r="BS25" s="1754">
        <v>5464</v>
      </c>
      <c r="BT25" s="1493">
        <v>1480</v>
      </c>
      <c r="BU25" s="1497">
        <f t="shared" si="29"/>
        <v>27.086383601756953</v>
      </c>
      <c r="BV25" s="1493">
        <v>422</v>
      </c>
      <c r="BW25" s="1739">
        <f t="shared" si="30"/>
        <v>7.7232796486090773</v>
      </c>
      <c r="BX25" s="1500">
        <v>15</v>
      </c>
      <c r="BY25" s="1501" t="s">
        <v>352</v>
      </c>
      <c r="BZ25" s="1501">
        <v>15</v>
      </c>
    </row>
    <row r="26" spans="1:78" s="1501" customFormat="1" ht="17.100000000000001" customHeight="1" x14ac:dyDescent="0.25">
      <c r="A26" s="1491" t="s">
        <v>501</v>
      </c>
      <c r="B26" s="1502" t="s">
        <v>64</v>
      </c>
      <c r="C26" s="1727">
        <v>30290</v>
      </c>
      <c r="D26" s="1738">
        <v>24127</v>
      </c>
      <c r="E26" s="1494">
        <f t="shared" si="0"/>
        <v>79.7</v>
      </c>
      <c r="F26" s="1493">
        <v>23529</v>
      </c>
      <c r="G26" s="1494">
        <f t="shared" si="1"/>
        <v>77.7</v>
      </c>
      <c r="H26" s="1493">
        <v>418</v>
      </c>
      <c r="I26" s="1494">
        <f t="shared" si="2"/>
        <v>1.4</v>
      </c>
      <c r="J26" s="1493">
        <v>23947</v>
      </c>
      <c r="K26" s="1494">
        <f t="shared" si="3"/>
        <v>79.099999999999994</v>
      </c>
      <c r="L26" s="1493">
        <v>25996</v>
      </c>
      <c r="M26" s="1494">
        <f t="shared" si="4"/>
        <v>85.8</v>
      </c>
      <c r="N26" s="1493">
        <v>26349</v>
      </c>
      <c r="O26" s="1494">
        <f t="shared" si="5"/>
        <v>87</v>
      </c>
      <c r="P26" s="1493">
        <v>26006</v>
      </c>
      <c r="Q26" s="1494">
        <f t="shared" si="6"/>
        <v>85.9</v>
      </c>
      <c r="R26" s="1493">
        <v>25861</v>
      </c>
      <c r="S26" s="1494">
        <f t="shared" si="7"/>
        <v>85.4</v>
      </c>
      <c r="T26" s="1493">
        <v>26363</v>
      </c>
      <c r="U26" s="1494">
        <f t="shared" si="8"/>
        <v>87</v>
      </c>
      <c r="V26" s="1493">
        <v>25486</v>
      </c>
      <c r="W26" s="1494">
        <f t="shared" si="9"/>
        <v>84.1</v>
      </c>
      <c r="X26" s="1493">
        <v>25460</v>
      </c>
      <c r="Y26" s="1494">
        <f t="shared" si="10"/>
        <v>84.1</v>
      </c>
      <c r="Z26" s="1493">
        <v>24490</v>
      </c>
      <c r="AA26" s="1494">
        <f t="shared" si="11"/>
        <v>80.900000000000006</v>
      </c>
      <c r="AB26" s="1493">
        <v>18760</v>
      </c>
      <c r="AC26" s="1494">
        <f t="shared" si="12"/>
        <v>61.9</v>
      </c>
      <c r="AD26" s="1493">
        <v>26085</v>
      </c>
      <c r="AE26" s="1494">
        <f t="shared" si="13"/>
        <v>86.1</v>
      </c>
      <c r="AF26" s="1493">
        <v>25973</v>
      </c>
      <c r="AG26" s="1494">
        <f t="shared" si="14"/>
        <v>85.7</v>
      </c>
      <c r="AH26" s="1429">
        <v>30629</v>
      </c>
      <c r="AI26" s="1493">
        <v>27134</v>
      </c>
      <c r="AJ26" s="1495">
        <f t="shared" si="15"/>
        <v>88.6</v>
      </c>
      <c r="AK26" s="1493">
        <v>26562</v>
      </c>
      <c r="AL26" s="1494">
        <f t="shared" si="16"/>
        <v>86.7</v>
      </c>
      <c r="AM26" s="1493">
        <v>27083</v>
      </c>
      <c r="AN26" s="1494">
        <f t="shared" si="17"/>
        <v>88.4</v>
      </c>
      <c r="AO26" s="1493">
        <v>26749</v>
      </c>
      <c r="AP26" s="1494">
        <f t="shared" si="18"/>
        <v>87.3</v>
      </c>
      <c r="AQ26" s="1493">
        <v>27091</v>
      </c>
      <c r="AR26" s="1494">
        <f t="shared" si="19"/>
        <v>88.4</v>
      </c>
      <c r="AS26" s="1493">
        <v>94</v>
      </c>
      <c r="AT26" s="1494">
        <f t="shared" si="31"/>
        <v>0.30689869078324467</v>
      </c>
      <c r="AU26" s="1493">
        <v>151</v>
      </c>
      <c r="AV26" s="1493">
        <v>248</v>
      </c>
      <c r="AW26" s="1493">
        <v>26710</v>
      </c>
      <c r="AX26" s="1494">
        <f t="shared" si="20"/>
        <v>87.2</v>
      </c>
      <c r="AY26" s="1493">
        <v>26715</v>
      </c>
      <c r="AZ26" s="1494">
        <f t="shared" si="21"/>
        <v>87.2</v>
      </c>
      <c r="BA26" s="1496">
        <v>31706</v>
      </c>
      <c r="BB26" s="1493">
        <v>27099</v>
      </c>
      <c r="BC26" s="1497">
        <f t="shared" si="22"/>
        <v>85.5</v>
      </c>
      <c r="BD26" s="1493">
        <v>27041</v>
      </c>
      <c r="BE26" s="1497">
        <f t="shared" si="23"/>
        <v>85.3</v>
      </c>
      <c r="BF26" s="1493">
        <v>27114</v>
      </c>
      <c r="BG26" s="1497">
        <f t="shared" si="24"/>
        <v>85.5</v>
      </c>
      <c r="BH26" s="1493">
        <v>9979</v>
      </c>
      <c r="BI26" s="1497">
        <f t="shared" si="25"/>
        <v>62.9</v>
      </c>
      <c r="BJ26" s="1493">
        <v>12498</v>
      </c>
      <c r="BK26" s="1493">
        <v>9685</v>
      </c>
      <c r="BL26" s="1498">
        <v>56116</v>
      </c>
      <c r="BM26" s="1493">
        <v>24014</v>
      </c>
      <c r="BN26" s="1499">
        <f t="shared" si="26"/>
        <v>42.793499180269443</v>
      </c>
      <c r="BO26" s="1493">
        <v>21026</v>
      </c>
      <c r="BP26" s="1497">
        <f t="shared" si="27"/>
        <v>69.400000000000006</v>
      </c>
      <c r="BQ26" s="1493">
        <v>21312</v>
      </c>
      <c r="BR26" s="1751">
        <f t="shared" si="28"/>
        <v>70.400000000000006</v>
      </c>
      <c r="BS26" s="1754">
        <v>15629</v>
      </c>
      <c r="BT26" s="1493">
        <v>3990</v>
      </c>
      <c r="BU26" s="1497">
        <f t="shared" si="29"/>
        <v>25.529464457098982</v>
      </c>
      <c r="BV26" s="1493">
        <v>848</v>
      </c>
      <c r="BW26" s="1739">
        <f t="shared" si="30"/>
        <v>5.4258109923859497</v>
      </c>
      <c r="BX26" s="1500">
        <v>16</v>
      </c>
      <c r="BY26" s="1501" t="s">
        <v>347</v>
      </c>
      <c r="BZ26" s="1501">
        <v>16</v>
      </c>
    </row>
    <row r="27" spans="1:78" s="1501" customFormat="1" ht="17.100000000000001" customHeight="1" x14ac:dyDescent="0.25">
      <c r="A27" s="1491" t="s">
        <v>265</v>
      </c>
      <c r="B27" s="1502" t="s">
        <v>122</v>
      </c>
      <c r="C27" s="1727">
        <v>33896</v>
      </c>
      <c r="D27" s="1738">
        <v>19095</v>
      </c>
      <c r="E27" s="1494">
        <f t="shared" si="0"/>
        <v>56.3</v>
      </c>
      <c r="F27" s="1493">
        <v>18980</v>
      </c>
      <c r="G27" s="1494">
        <f t="shared" si="1"/>
        <v>56</v>
      </c>
      <c r="H27" s="1493">
        <v>39</v>
      </c>
      <c r="I27" s="1494">
        <f t="shared" si="2"/>
        <v>0.1</v>
      </c>
      <c r="J27" s="1493">
        <v>19019</v>
      </c>
      <c r="K27" s="1494">
        <f t="shared" si="3"/>
        <v>56.1</v>
      </c>
      <c r="L27" s="1493">
        <v>31080</v>
      </c>
      <c r="M27" s="1494">
        <f t="shared" si="4"/>
        <v>91.7</v>
      </c>
      <c r="N27" s="1493">
        <v>32898</v>
      </c>
      <c r="O27" s="1494">
        <f t="shared" si="5"/>
        <v>97.1</v>
      </c>
      <c r="P27" s="1493">
        <v>31119</v>
      </c>
      <c r="Q27" s="1494">
        <f t="shared" si="6"/>
        <v>91.8</v>
      </c>
      <c r="R27" s="1493">
        <v>31818</v>
      </c>
      <c r="S27" s="1494">
        <f t="shared" si="7"/>
        <v>93.9</v>
      </c>
      <c r="T27" s="1493">
        <v>32913</v>
      </c>
      <c r="U27" s="1494">
        <f t="shared" si="8"/>
        <v>97.1</v>
      </c>
      <c r="V27" s="1493">
        <v>30722</v>
      </c>
      <c r="W27" s="1494">
        <f t="shared" si="9"/>
        <v>90.6</v>
      </c>
      <c r="X27" s="1493">
        <v>31432</v>
      </c>
      <c r="Y27" s="1494">
        <f t="shared" si="10"/>
        <v>92.7</v>
      </c>
      <c r="Z27" s="1493">
        <v>27353</v>
      </c>
      <c r="AA27" s="1494">
        <f t="shared" si="11"/>
        <v>80.7</v>
      </c>
      <c r="AB27" s="1493">
        <v>21915</v>
      </c>
      <c r="AC27" s="1494">
        <f t="shared" si="12"/>
        <v>64.7</v>
      </c>
      <c r="AD27" s="1493">
        <v>31372</v>
      </c>
      <c r="AE27" s="1494">
        <f t="shared" si="13"/>
        <v>92.6</v>
      </c>
      <c r="AF27" s="1493">
        <v>31894</v>
      </c>
      <c r="AG27" s="1494">
        <f t="shared" si="14"/>
        <v>94.1</v>
      </c>
      <c r="AH27" s="1429">
        <v>35671</v>
      </c>
      <c r="AI27" s="1493">
        <v>34486</v>
      </c>
      <c r="AJ27" s="1495">
        <f t="shared" si="15"/>
        <v>96.7</v>
      </c>
      <c r="AK27" s="1493">
        <v>34351</v>
      </c>
      <c r="AL27" s="1494">
        <f t="shared" si="16"/>
        <v>96.3</v>
      </c>
      <c r="AM27" s="1493">
        <v>34576</v>
      </c>
      <c r="AN27" s="1494">
        <f t="shared" si="17"/>
        <v>96.9</v>
      </c>
      <c r="AO27" s="1493">
        <v>32166</v>
      </c>
      <c r="AP27" s="1494">
        <f t="shared" si="18"/>
        <v>90.2</v>
      </c>
      <c r="AQ27" s="1493">
        <v>33934</v>
      </c>
      <c r="AR27" s="1494">
        <f t="shared" si="19"/>
        <v>95.1</v>
      </c>
      <c r="AS27" s="1493">
        <v>528</v>
      </c>
      <c r="AT27" s="1494">
        <f t="shared" si="31"/>
        <v>1.4801939951220879</v>
      </c>
      <c r="AU27" s="1493">
        <v>370</v>
      </c>
      <c r="AV27" s="1493">
        <v>1289</v>
      </c>
      <c r="AW27" s="1493">
        <v>32612</v>
      </c>
      <c r="AX27" s="1494">
        <f t="shared" si="20"/>
        <v>91.4</v>
      </c>
      <c r="AY27" s="1493">
        <v>32705</v>
      </c>
      <c r="AZ27" s="1494">
        <f t="shared" si="21"/>
        <v>91.7</v>
      </c>
      <c r="BA27" s="1496">
        <v>37992</v>
      </c>
      <c r="BB27" s="1493">
        <v>36125</v>
      </c>
      <c r="BC27" s="1497">
        <f t="shared" si="22"/>
        <v>95.1</v>
      </c>
      <c r="BD27" s="1493">
        <v>35918</v>
      </c>
      <c r="BE27" s="1497">
        <f t="shared" si="23"/>
        <v>94.5</v>
      </c>
      <c r="BF27" s="1493">
        <v>36238</v>
      </c>
      <c r="BG27" s="1497">
        <f t="shared" si="24"/>
        <v>95.4</v>
      </c>
      <c r="BH27" s="1493">
        <v>12303</v>
      </c>
      <c r="BI27" s="1497">
        <f t="shared" si="25"/>
        <v>64.8</v>
      </c>
      <c r="BJ27" s="1493">
        <v>15877</v>
      </c>
      <c r="BK27" s="1493">
        <v>20286</v>
      </c>
      <c r="BL27" s="1498">
        <v>102371</v>
      </c>
      <c r="BM27" s="1493">
        <v>77880</v>
      </c>
      <c r="BN27" s="1499">
        <f t="shared" si="26"/>
        <v>76.076232526789809</v>
      </c>
      <c r="BO27" s="1493">
        <v>22994</v>
      </c>
      <c r="BP27" s="1497">
        <f t="shared" si="27"/>
        <v>67.8</v>
      </c>
      <c r="BQ27" s="1493">
        <v>24742</v>
      </c>
      <c r="BR27" s="1751">
        <f t="shared" si="28"/>
        <v>73</v>
      </c>
      <c r="BS27" s="1754">
        <v>21415</v>
      </c>
      <c r="BT27" s="1493">
        <v>5220</v>
      </c>
      <c r="BU27" s="1497">
        <f t="shared" si="29"/>
        <v>24.375437777258931</v>
      </c>
      <c r="BV27" s="1493">
        <v>1290</v>
      </c>
      <c r="BW27" s="1739">
        <f t="shared" si="30"/>
        <v>6.0238150828858279</v>
      </c>
      <c r="BX27" s="1500">
        <v>17</v>
      </c>
      <c r="BY27" s="1501" t="s">
        <v>345</v>
      </c>
      <c r="BZ27" s="1501">
        <v>17</v>
      </c>
    </row>
    <row r="28" spans="1:78" s="1501" customFormat="1" ht="17.100000000000001" customHeight="1" x14ac:dyDescent="0.25">
      <c r="A28" s="1491" t="s">
        <v>266</v>
      </c>
      <c r="B28" s="1502" t="s">
        <v>65</v>
      </c>
      <c r="C28" s="1727">
        <v>802</v>
      </c>
      <c r="D28" s="1738">
        <v>991</v>
      </c>
      <c r="E28" s="1494">
        <f t="shared" si="0"/>
        <v>123.6</v>
      </c>
      <c r="F28" s="1493">
        <v>385</v>
      </c>
      <c r="G28" s="1494">
        <f t="shared" si="1"/>
        <v>48</v>
      </c>
      <c r="H28" s="1493">
        <v>421</v>
      </c>
      <c r="I28" s="1494">
        <f t="shared" si="2"/>
        <v>52.5</v>
      </c>
      <c r="J28" s="1493">
        <v>806</v>
      </c>
      <c r="K28" s="1494">
        <f t="shared" si="3"/>
        <v>100.5</v>
      </c>
      <c r="L28" s="1493">
        <v>1029</v>
      </c>
      <c r="M28" s="1494">
        <f t="shared" si="4"/>
        <v>128.30000000000001</v>
      </c>
      <c r="N28" s="1493">
        <v>874</v>
      </c>
      <c r="O28" s="1494">
        <f t="shared" si="5"/>
        <v>109</v>
      </c>
      <c r="P28" s="1493">
        <v>1029</v>
      </c>
      <c r="Q28" s="1494">
        <f t="shared" si="6"/>
        <v>128.30000000000001</v>
      </c>
      <c r="R28" s="1493">
        <v>944</v>
      </c>
      <c r="S28" s="1494">
        <f t="shared" si="7"/>
        <v>117.7</v>
      </c>
      <c r="T28" s="1493">
        <v>876</v>
      </c>
      <c r="U28" s="1494">
        <f t="shared" si="8"/>
        <v>109.2</v>
      </c>
      <c r="V28" s="1493">
        <v>841</v>
      </c>
      <c r="W28" s="1494">
        <f t="shared" si="9"/>
        <v>104.9</v>
      </c>
      <c r="X28" s="1493">
        <v>802</v>
      </c>
      <c r="Y28" s="1494">
        <f t="shared" si="10"/>
        <v>100</v>
      </c>
      <c r="Z28" s="1493">
        <v>508</v>
      </c>
      <c r="AA28" s="1494">
        <f t="shared" si="11"/>
        <v>63.3</v>
      </c>
      <c r="AB28" s="1493">
        <v>306</v>
      </c>
      <c r="AC28" s="1494">
        <f t="shared" si="12"/>
        <v>38.200000000000003</v>
      </c>
      <c r="AD28" s="1493">
        <v>1042</v>
      </c>
      <c r="AE28" s="1494">
        <f t="shared" si="13"/>
        <v>129.9</v>
      </c>
      <c r="AF28" s="1493">
        <v>937</v>
      </c>
      <c r="AG28" s="1494">
        <f t="shared" si="14"/>
        <v>116.8</v>
      </c>
      <c r="AH28" s="1429">
        <v>970</v>
      </c>
      <c r="AI28" s="1493">
        <v>954</v>
      </c>
      <c r="AJ28" s="1495">
        <f t="shared" si="15"/>
        <v>98.4</v>
      </c>
      <c r="AK28" s="1493">
        <v>957</v>
      </c>
      <c r="AL28" s="1494">
        <f t="shared" si="16"/>
        <v>98.7</v>
      </c>
      <c r="AM28" s="1493">
        <v>971</v>
      </c>
      <c r="AN28" s="1494">
        <f t="shared" si="17"/>
        <v>100.1</v>
      </c>
      <c r="AO28" s="1493">
        <v>955</v>
      </c>
      <c r="AP28" s="1494">
        <f t="shared" si="18"/>
        <v>98.5</v>
      </c>
      <c r="AQ28" s="1493">
        <v>862</v>
      </c>
      <c r="AR28" s="1494">
        <f t="shared" si="19"/>
        <v>88.9</v>
      </c>
      <c r="AS28" s="1493">
        <v>42</v>
      </c>
      <c r="AT28" s="1494">
        <f t="shared" si="31"/>
        <v>4.3298969072164946</v>
      </c>
      <c r="AU28" s="1493">
        <v>83</v>
      </c>
      <c r="AV28" s="1493">
        <v>78</v>
      </c>
      <c r="AW28" s="1493">
        <v>689</v>
      </c>
      <c r="AX28" s="1494">
        <f t="shared" si="20"/>
        <v>71</v>
      </c>
      <c r="AY28" s="1493">
        <v>693</v>
      </c>
      <c r="AZ28" s="1494">
        <f t="shared" si="21"/>
        <v>71.400000000000006</v>
      </c>
      <c r="BA28" s="1496">
        <v>902</v>
      </c>
      <c r="BB28" s="1493">
        <v>812</v>
      </c>
      <c r="BC28" s="1497">
        <f t="shared" si="22"/>
        <v>90</v>
      </c>
      <c r="BD28" s="1493">
        <v>816</v>
      </c>
      <c r="BE28" s="1497">
        <f t="shared" si="23"/>
        <v>90.5</v>
      </c>
      <c r="BF28" s="1493">
        <v>830</v>
      </c>
      <c r="BG28" s="1497">
        <f t="shared" si="24"/>
        <v>92</v>
      </c>
      <c r="BH28" s="1493">
        <v>251</v>
      </c>
      <c r="BI28" s="1497">
        <f t="shared" si="25"/>
        <v>55.7</v>
      </c>
      <c r="BJ28" s="1493">
        <v>757</v>
      </c>
      <c r="BK28" s="1493">
        <v>837</v>
      </c>
      <c r="BL28" s="1498">
        <v>926</v>
      </c>
      <c r="BM28" s="1493">
        <v>1175</v>
      </c>
      <c r="BN28" s="1499">
        <f t="shared" si="26"/>
        <v>126.88984881209504</v>
      </c>
      <c r="BO28" s="1493">
        <v>436</v>
      </c>
      <c r="BP28" s="1497">
        <f t="shared" si="27"/>
        <v>54.4</v>
      </c>
      <c r="BQ28" s="1493">
        <v>564</v>
      </c>
      <c r="BR28" s="1751">
        <f t="shared" si="28"/>
        <v>70.3</v>
      </c>
      <c r="BS28" s="1754">
        <v>484</v>
      </c>
      <c r="BT28" s="1493">
        <v>242</v>
      </c>
      <c r="BU28" s="1497">
        <f t="shared" si="29"/>
        <v>50</v>
      </c>
      <c r="BV28" s="1493">
        <v>34</v>
      </c>
      <c r="BW28" s="1739">
        <f t="shared" si="30"/>
        <v>7.0247933884297522</v>
      </c>
      <c r="BX28" s="1500">
        <v>18</v>
      </c>
      <c r="BY28" s="1501" t="s">
        <v>344</v>
      </c>
      <c r="BZ28" s="1501">
        <v>18</v>
      </c>
    </row>
    <row r="29" spans="1:78" s="1501" customFormat="1" ht="17.100000000000001" customHeight="1" x14ac:dyDescent="0.25">
      <c r="A29" s="1491" t="s">
        <v>267</v>
      </c>
      <c r="B29" s="1492" t="s">
        <v>26</v>
      </c>
      <c r="C29" s="1727">
        <v>1316</v>
      </c>
      <c r="D29" s="1738">
        <v>1311</v>
      </c>
      <c r="E29" s="1494">
        <f t="shared" si="0"/>
        <v>99.6</v>
      </c>
      <c r="F29" s="1493">
        <v>1233</v>
      </c>
      <c r="G29" s="1494">
        <f t="shared" si="1"/>
        <v>93.7</v>
      </c>
      <c r="H29" s="1493">
        <v>53</v>
      </c>
      <c r="I29" s="1494">
        <f t="shared" si="2"/>
        <v>4</v>
      </c>
      <c r="J29" s="1493">
        <v>1286</v>
      </c>
      <c r="K29" s="1494">
        <f t="shared" si="3"/>
        <v>97.7</v>
      </c>
      <c r="L29" s="1493">
        <v>1381</v>
      </c>
      <c r="M29" s="1494">
        <f t="shared" si="4"/>
        <v>104.9</v>
      </c>
      <c r="N29" s="1493">
        <v>1354</v>
      </c>
      <c r="O29" s="1494">
        <f t="shared" si="5"/>
        <v>102.9</v>
      </c>
      <c r="P29" s="1493">
        <v>1381</v>
      </c>
      <c r="Q29" s="1494">
        <f t="shared" si="6"/>
        <v>104.9</v>
      </c>
      <c r="R29" s="1493">
        <v>1395</v>
      </c>
      <c r="S29" s="1494">
        <f t="shared" si="7"/>
        <v>106</v>
      </c>
      <c r="T29" s="1493">
        <v>1354</v>
      </c>
      <c r="U29" s="1494">
        <f t="shared" si="8"/>
        <v>102.9</v>
      </c>
      <c r="V29" s="1493">
        <v>1320</v>
      </c>
      <c r="W29" s="1494">
        <f t="shared" si="9"/>
        <v>100.3</v>
      </c>
      <c r="X29" s="1493">
        <v>1347</v>
      </c>
      <c r="Y29" s="1494">
        <f t="shared" si="10"/>
        <v>102.4</v>
      </c>
      <c r="Z29" s="1493">
        <v>1198</v>
      </c>
      <c r="AA29" s="1494">
        <f t="shared" si="11"/>
        <v>91</v>
      </c>
      <c r="AB29" s="1493">
        <v>910</v>
      </c>
      <c r="AC29" s="1494">
        <f t="shared" si="12"/>
        <v>69.099999999999994</v>
      </c>
      <c r="AD29" s="1493">
        <v>1382</v>
      </c>
      <c r="AE29" s="1494">
        <f t="shared" si="13"/>
        <v>105</v>
      </c>
      <c r="AF29" s="1493">
        <v>1401</v>
      </c>
      <c r="AG29" s="1494">
        <f t="shared" si="14"/>
        <v>106.5</v>
      </c>
      <c r="AH29" s="1429">
        <v>1328</v>
      </c>
      <c r="AI29" s="1493">
        <v>1346</v>
      </c>
      <c r="AJ29" s="1495">
        <f t="shared" si="15"/>
        <v>101.4</v>
      </c>
      <c r="AK29" s="1493">
        <v>1312</v>
      </c>
      <c r="AL29" s="1494">
        <f t="shared" si="16"/>
        <v>98.8</v>
      </c>
      <c r="AM29" s="1493">
        <v>1344</v>
      </c>
      <c r="AN29" s="1494">
        <f t="shared" si="17"/>
        <v>101.2</v>
      </c>
      <c r="AO29" s="1493">
        <v>1372</v>
      </c>
      <c r="AP29" s="1494">
        <f t="shared" si="18"/>
        <v>103.3</v>
      </c>
      <c r="AQ29" s="1493">
        <v>1342</v>
      </c>
      <c r="AR29" s="1494">
        <f t="shared" si="19"/>
        <v>101.1</v>
      </c>
      <c r="AS29" s="1493">
        <v>3</v>
      </c>
      <c r="AT29" s="1494">
        <f t="shared" si="31"/>
        <v>0.2259036144578313</v>
      </c>
      <c r="AU29" s="1493">
        <v>9</v>
      </c>
      <c r="AV29" s="1493">
        <v>3</v>
      </c>
      <c r="AW29" s="1493">
        <v>1239</v>
      </c>
      <c r="AX29" s="1494">
        <f t="shared" si="20"/>
        <v>93.3</v>
      </c>
      <c r="AY29" s="1493">
        <v>1239</v>
      </c>
      <c r="AZ29" s="1494">
        <f t="shared" si="21"/>
        <v>93.3</v>
      </c>
      <c r="BA29" s="1496">
        <v>1604</v>
      </c>
      <c r="BB29" s="1493">
        <v>1254</v>
      </c>
      <c r="BC29" s="1497">
        <f t="shared" si="22"/>
        <v>78.2</v>
      </c>
      <c r="BD29" s="1493">
        <v>1255</v>
      </c>
      <c r="BE29" s="1497">
        <f t="shared" si="23"/>
        <v>78.2</v>
      </c>
      <c r="BF29" s="1493">
        <v>1252</v>
      </c>
      <c r="BG29" s="1497">
        <f t="shared" si="24"/>
        <v>78.099999999999994</v>
      </c>
      <c r="BH29" s="1493">
        <v>423</v>
      </c>
      <c r="BI29" s="1497">
        <f t="shared" si="25"/>
        <v>52.7</v>
      </c>
      <c r="BJ29" s="1493">
        <v>336</v>
      </c>
      <c r="BK29" s="1493">
        <v>466</v>
      </c>
      <c r="BL29" s="1498">
        <v>2822</v>
      </c>
      <c r="BM29" s="1493">
        <v>1353</v>
      </c>
      <c r="BN29" s="1499">
        <f t="shared" si="26"/>
        <v>47.944720056697378</v>
      </c>
      <c r="BO29" s="1493">
        <v>858</v>
      </c>
      <c r="BP29" s="1497">
        <f t="shared" si="27"/>
        <v>65.2</v>
      </c>
      <c r="BQ29" s="1493">
        <v>1076</v>
      </c>
      <c r="BR29" s="1751">
        <f t="shared" si="28"/>
        <v>81.8</v>
      </c>
      <c r="BS29" s="1754">
        <v>740</v>
      </c>
      <c r="BT29" s="1493">
        <v>355</v>
      </c>
      <c r="BU29" s="1497">
        <f t="shared" si="29"/>
        <v>47.972972972972968</v>
      </c>
      <c r="BV29" s="1493">
        <v>110</v>
      </c>
      <c r="BW29" s="1739">
        <f t="shared" si="30"/>
        <v>14.864864864864865</v>
      </c>
      <c r="BX29" s="1500">
        <v>19</v>
      </c>
      <c r="BY29" s="1501" t="s">
        <v>344</v>
      </c>
      <c r="BZ29" s="1501">
        <v>19</v>
      </c>
    </row>
    <row r="30" spans="1:78" s="1501" customFormat="1" ht="17.100000000000001" customHeight="1" x14ac:dyDescent="0.25">
      <c r="A30" s="1491" t="s">
        <v>268</v>
      </c>
      <c r="B30" s="1504" t="s">
        <v>27</v>
      </c>
      <c r="C30" s="1727">
        <v>19108</v>
      </c>
      <c r="D30" s="1738">
        <v>17681</v>
      </c>
      <c r="E30" s="1494">
        <f t="shared" si="0"/>
        <v>92.5</v>
      </c>
      <c r="F30" s="1493">
        <v>16704</v>
      </c>
      <c r="G30" s="1494">
        <f t="shared" si="1"/>
        <v>87.4</v>
      </c>
      <c r="H30" s="1493">
        <v>941</v>
      </c>
      <c r="I30" s="1494">
        <f t="shared" si="2"/>
        <v>4.9000000000000004</v>
      </c>
      <c r="J30" s="1493">
        <v>17645</v>
      </c>
      <c r="K30" s="1494">
        <f t="shared" si="3"/>
        <v>92.3</v>
      </c>
      <c r="L30" s="1493">
        <v>17348</v>
      </c>
      <c r="M30" s="1494">
        <f t="shared" si="4"/>
        <v>90.8</v>
      </c>
      <c r="N30" s="1493">
        <v>17640</v>
      </c>
      <c r="O30" s="1494">
        <f t="shared" si="5"/>
        <v>92.3</v>
      </c>
      <c r="P30" s="1493">
        <v>17352</v>
      </c>
      <c r="Q30" s="1494">
        <f t="shared" si="6"/>
        <v>90.8</v>
      </c>
      <c r="R30" s="1493">
        <v>17400</v>
      </c>
      <c r="S30" s="1494">
        <f t="shared" si="7"/>
        <v>91.1</v>
      </c>
      <c r="T30" s="1493">
        <v>17637</v>
      </c>
      <c r="U30" s="1494">
        <f t="shared" si="8"/>
        <v>92.3</v>
      </c>
      <c r="V30" s="1493">
        <v>17266</v>
      </c>
      <c r="W30" s="1494">
        <f t="shared" si="9"/>
        <v>90.4</v>
      </c>
      <c r="X30" s="1493">
        <v>17281</v>
      </c>
      <c r="Y30" s="1494">
        <f t="shared" si="10"/>
        <v>90.4</v>
      </c>
      <c r="Z30" s="1493">
        <v>15492</v>
      </c>
      <c r="AA30" s="1494">
        <f t="shared" si="11"/>
        <v>81.099999999999994</v>
      </c>
      <c r="AB30" s="1493">
        <v>12358</v>
      </c>
      <c r="AC30" s="1494">
        <f t="shared" si="12"/>
        <v>64.7</v>
      </c>
      <c r="AD30" s="1493">
        <v>17453</v>
      </c>
      <c r="AE30" s="1494">
        <f t="shared" si="13"/>
        <v>91.3</v>
      </c>
      <c r="AF30" s="1493">
        <v>17466</v>
      </c>
      <c r="AG30" s="1494">
        <f t="shared" si="14"/>
        <v>91.4</v>
      </c>
      <c r="AH30" s="1429">
        <v>19740</v>
      </c>
      <c r="AI30" s="1493">
        <v>18370</v>
      </c>
      <c r="AJ30" s="1495">
        <f t="shared" si="15"/>
        <v>93.1</v>
      </c>
      <c r="AK30" s="1493">
        <v>18326</v>
      </c>
      <c r="AL30" s="1494">
        <f t="shared" si="16"/>
        <v>92.8</v>
      </c>
      <c r="AM30" s="1493">
        <v>18415</v>
      </c>
      <c r="AN30" s="1494">
        <f t="shared" si="17"/>
        <v>93.3</v>
      </c>
      <c r="AO30" s="1493">
        <v>17873</v>
      </c>
      <c r="AP30" s="1494">
        <f t="shared" si="18"/>
        <v>90.5</v>
      </c>
      <c r="AQ30" s="1493">
        <v>18288</v>
      </c>
      <c r="AR30" s="1494">
        <f t="shared" si="19"/>
        <v>92.6</v>
      </c>
      <c r="AS30" s="1493">
        <v>70</v>
      </c>
      <c r="AT30" s="1494">
        <f t="shared" si="31"/>
        <v>0.3546099290780142</v>
      </c>
      <c r="AU30" s="1493">
        <v>76</v>
      </c>
      <c r="AV30" s="1493">
        <v>128</v>
      </c>
      <c r="AW30" s="1493">
        <v>18084</v>
      </c>
      <c r="AX30" s="1494">
        <f t="shared" si="20"/>
        <v>91.6</v>
      </c>
      <c r="AY30" s="1493">
        <v>18084</v>
      </c>
      <c r="AZ30" s="1494">
        <f t="shared" si="21"/>
        <v>91.6</v>
      </c>
      <c r="BA30" s="1496">
        <v>20558</v>
      </c>
      <c r="BB30" s="1493">
        <v>19364</v>
      </c>
      <c r="BC30" s="1497">
        <f t="shared" si="22"/>
        <v>94.2</v>
      </c>
      <c r="BD30" s="1493">
        <v>19369</v>
      </c>
      <c r="BE30" s="1497">
        <f t="shared" si="23"/>
        <v>94.2</v>
      </c>
      <c r="BF30" s="1493">
        <v>19415</v>
      </c>
      <c r="BG30" s="1497">
        <f t="shared" si="24"/>
        <v>94.4</v>
      </c>
      <c r="BH30" s="1493">
        <v>7772</v>
      </c>
      <c r="BI30" s="1497">
        <f t="shared" si="25"/>
        <v>75.599999999999994</v>
      </c>
      <c r="BJ30" s="1493">
        <v>5037</v>
      </c>
      <c r="BK30" s="1493">
        <v>9194</v>
      </c>
      <c r="BL30" s="1498">
        <v>39383</v>
      </c>
      <c r="BM30" s="1493">
        <v>35606</v>
      </c>
      <c r="BN30" s="1499">
        <f t="shared" si="26"/>
        <v>90.409567579920264</v>
      </c>
      <c r="BO30" s="1493">
        <v>14178</v>
      </c>
      <c r="BP30" s="1497">
        <f t="shared" si="27"/>
        <v>74.2</v>
      </c>
      <c r="BQ30" s="1493">
        <v>15668</v>
      </c>
      <c r="BR30" s="1751">
        <f t="shared" si="28"/>
        <v>82</v>
      </c>
      <c r="BS30" s="1754">
        <v>9964</v>
      </c>
      <c r="BT30" s="1493">
        <v>4154</v>
      </c>
      <c r="BU30" s="1497">
        <f t="shared" si="29"/>
        <v>41.690084303492576</v>
      </c>
      <c r="BV30" s="1493">
        <v>1256</v>
      </c>
      <c r="BW30" s="1739">
        <f t="shared" si="30"/>
        <v>12.60537936571658</v>
      </c>
      <c r="BX30" s="1500">
        <v>20</v>
      </c>
      <c r="BY30" s="1501" t="s">
        <v>345</v>
      </c>
      <c r="BZ30" s="1501">
        <v>20</v>
      </c>
    </row>
    <row r="31" spans="1:78" s="1501" customFormat="1" ht="17.100000000000001" customHeight="1" x14ac:dyDescent="0.25">
      <c r="A31" s="1491" t="s">
        <v>269</v>
      </c>
      <c r="B31" s="1504" t="s">
        <v>124</v>
      </c>
      <c r="C31" s="1727">
        <v>20021</v>
      </c>
      <c r="D31" s="1738">
        <v>22126</v>
      </c>
      <c r="E31" s="1494">
        <f t="shared" si="0"/>
        <v>110.5</v>
      </c>
      <c r="F31" s="1493">
        <v>18693</v>
      </c>
      <c r="G31" s="1494">
        <f t="shared" si="1"/>
        <v>93.4</v>
      </c>
      <c r="H31" s="1493">
        <v>1690</v>
      </c>
      <c r="I31" s="1494">
        <f t="shared" si="2"/>
        <v>8.4</v>
      </c>
      <c r="J31" s="1493">
        <v>20383</v>
      </c>
      <c r="K31" s="1494">
        <f t="shared" si="3"/>
        <v>101.8</v>
      </c>
      <c r="L31" s="1493">
        <v>22517</v>
      </c>
      <c r="M31" s="1494">
        <f t="shared" si="4"/>
        <v>112.5</v>
      </c>
      <c r="N31" s="1493">
        <v>19161</v>
      </c>
      <c r="O31" s="1494">
        <f t="shared" si="5"/>
        <v>95.7</v>
      </c>
      <c r="P31" s="1493">
        <v>22582</v>
      </c>
      <c r="Q31" s="1494">
        <f t="shared" si="6"/>
        <v>112.8</v>
      </c>
      <c r="R31" s="1493">
        <v>20889</v>
      </c>
      <c r="S31" s="1494">
        <f t="shared" si="7"/>
        <v>104.3</v>
      </c>
      <c r="T31" s="1493">
        <v>19166</v>
      </c>
      <c r="U31" s="1494">
        <f t="shared" si="8"/>
        <v>95.7</v>
      </c>
      <c r="V31" s="1493">
        <v>19470</v>
      </c>
      <c r="W31" s="1494">
        <f t="shared" si="9"/>
        <v>97.2</v>
      </c>
      <c r="X31" s="1493">
        <v>18796</v>
      </c>
      <c r="Y31" s="1494">
        <f t="shared" si="10"/>
        <v>93.9</v>
      </c>
      <c r="Z31" s="1493">
        <v>18603</v>
      </c>
      <c r="AA31" s="1494">
        <f t="shared" si="11"/>
        <v>92.9</v>
      </c>
      <c r="AB31" s="1493">
        <v>12162</v>
      </c>
      <c r="AC31" s="1494">
        <f t="shared" si="12"/>
        <v>60.7</v>
      </c>
      <c r="AD31" s="1493">
        <v>22632</v>
      </c>
      <c r="AE31" s="1494">
        <f t="shared" si="13"/>
        <v>113</v>
      </c>
      <c r="AF31" s="1493">
        <v>20633</v>
      </c>
      <c r="AG31" s="1494">
        <f t="shared" si="14"/>
        <v>103.1</v>
      </c>
      <c r="AH31" s="1429">
        <v>21194</v>
      </c>
      <c r="AI31" s="1493">
        <v>20990</v>
      </c>
      <c r="AJ31" s="1495">
        <f t="shared" si="15"/>
        <v>99</v>
      </c>
      <c r="AK31" s="1493">
        <v>20844</v>
      </c>
      <c r="AL31" s="1494">
        <f t="shared" si="16"/>
        <v>98.3</v>
      </c>
      <c r="AM31" s="1493">
        <v>21049</v>
      </c>
      <c r="AN31" s="1494">
        <f t="shared" si="17"/>
        <v>99.3</v>
      </c>
      <c r="AO31" s="1493">
        <v>15299</v>
      </c>
      <c r="AP31" s="1494">
        <f t="shared" si="18"/>
        <v>72.2</v>
      </c>
      <c r="AQ31" s="1493">
        <v>19778</v>
      </c>
      <c r="AR31" s="1494">
        <f t="shared" si="19"/>
        <v>93.3</v>
      </c>
      <c r="AS31" s="1493">
        <v>720</v>
      </c>
      <c r="AT31" s="1494">
        <f t="shared" si="31"/>
        <v>3.3971878833632161</v>
      </c>
      <c r="AU31" s="1493">
        <v>873</v>
      </c>
      <c r="AV31" s="1493">
        <v>2293</v>
      </c>
      <c r="AW31" s="1493">
        <v>15454</v>
      </c>
      <c r="AX31" s="1494">
        <f t="shared" si="20"/>
        <v>72.900000000000006</v>
      </c>
      <c r="AY31" s="1493">
        <v>15298</v>
      </c>
      <c r="AZ31" s="1494">
        <f t="shared" si="21"/>
        <v>72.2</v>
      </c>
      <c r="BA31" s="1496">
        <v>22189</v>
      </c>
      <c r="BB31" s="1493">
        <v>18534</v>
      </c>
      <c r="BC31" s="1497">
        <f t="shared" si="22"/>
        <v>83.5</v>
      </c>
      <c r="BD31" s="1493">
        <v>18237</v>
      </c>
      <c r="BE31" s="1497">
        <f t="shared" si="23"/>
        <v>82.2</v>
      </c>
      <c r="BF31" s="1493">
        <v>18464</v>
      </c>
      <c r="BG31" s="1497">
        <f t="shared" si="24"/>
        <v>83.2</v>
      </c>
      <c r="BH31" s="1493">
        <v>2700</v>
      </c>
      <c r="BI31" s="1497">
        <f t="shared" si="25"/>
        <v>24.3</v>
      </c>
      <c r="BJ31" s="1493">
        <v>8710</v>
      </c>
      <c r="BK31" s="1493">
        <v>5466</v>
      </c>
      <c r="BL31" s="1498">
        <v>24740</v>
      </c>
      <c r="BM31" s="1493">
        <v>8073</v>
      </c>
      <c r="BN31" s="1499">
        <f t="shared" si="26"/>
        <v>32.631366208569119</v>
      </c>
      <c r="BO31" s="1493">
        <v>11445</v>
      </c>
      <c r="BP31" s="1497">
        <f t="shared" si="27"/>
        <v>57.2</v>
      </c>
      <c r="BQ31" s="1493">
        <v>14541</v>
      </c>
      <c r="BR31" s="1751">
        <f t="shared" si="28"/>
        <v>72.599999999999994</v>
      </c>
      <c r="BS31" s="1754">
        <v>8009</v>
      </c>
      <c r="BT31" s="1493">
        <v>2529</v>
      </c>
      <c r="BU31" s="1497">
        <f t="shared" si="29"/>
        <v>31.576975902110128</v>
      </c>
      <c r="BV31" s="1493">
        <v>494</v>
      </c>
      <c r="BW31" s="1739">
        <f t="shared" si="30"/>
        <v>6.168060931452116</v>
      </c>
      <c r="BX31" s="1500">
        <v>21</v>
      </c>
      <c r="BY31" s="1501" t="s">
        <v>347</v>
      </c>
      <c r="BZ31" s="1501">
        <v>21</v>
      </c>
    </row>
    <row r="32" spans="1:78" s="1501" customFormat="1" ht="17.100000000000001" customHeight="1" x14ac:dyDescent="0.25">
      <c r="A32" s="1491" t="s">
        <v>270</v>
      </c>
      <c r="B32" s="1504" t="s">
        <v>28</v>
      </c>
      <c r="C32" s="1727">
        <v>16542</v>
      </c>
      <c r="D32" s="1738">
        <v>12483</v>
      </c>
      <c r="E32" s="1494">
        <f t="shared" si="0"/>
        <v>75.5</v>
      </c>
      <c r="F32" s="1493">
        <v>11684</v>
      </c>
      <c r="G32" s="1494">
        <f t="shared" si="1"/>
        <v>70.599999999999994</v>
      </c>
      <c r="H32" s="1493">
        <v>425</v>
      </c>
      <c r="I32" s="1494">
        <f t="shared" si="2"/>
        <v>2.6</v>
      </c>
      <c r="J32" s="1493">
        <v>12109</v>
      </c>
      <c r="K32" s="1494">
        <f t="shared" si="3"/>
        <v>73.2</v>
      </c>
      <c r="L32" s="1493">
        <v>16254</v>
      </c>
      <c r="M32" s="1494">
        <f t="shared" si="4"/>
        <v>98.3</v>
      </c>
      <c r="N32" s="1493">
        <v>15460</v>
      </c>
      <c r="O32" s="1494">
        <f t="shared" si="5"/>
        <v>93.5</v>
      </c>
      <c r="P32" s="1493">
        <v>16411</v>
      </c>
      <c r="Q32" s="1494">
        <f t="shared" si="6"/>
        <v>99.2</v>
      </c>
      <c r="R32" s="1493">
        <v>16147</v>
      </c>
      <c r="S32" s="1494">
        <f t="shared" si="7"/>
        <v>97.6</v>
      </c>
      <c r="T32" s="1493">
        <v>15691</v>
      </c>
      <c r="U32" s="1494">
        <f t="shared" si="8"/>
        <v>94.9</v>
      </c>
      <c r="V32" s="1493">
        <v>15741</v>
      </c>
      <c r="W32" s="1494">
        <f t="shared" si="9"/>
        <v>95.2</v>
      </c>
      <c r="X32" s="1493">
        <v>15548</v>
      </c>
      <c r="Y32" s="1494">
        <f t="shared" si="10"/>
        <v>94</v>
      </c>
      <c r="Z32" s="1493">
        <v>13352</v>
      </c>
      <c r="AA32" s="1494">
        <f t="shared" si="11"/>
        <v>80.7</v>
      </c>
      <c r="AB32" s="1493">
        <v>10276</v>
      </c>
      <c r="AC32" s="1494">
        <f t="shared" si="12"/>
        <v>62.1</v>
      </c>
      <c r="AD32" s="1493">
        <v>16321</v>
      </c>
      <c r="AE32" s="1494">
        <f t="shared" si="13"/>
        <v>98.7</v>
      </c>
      <c r="AF32" s="1493">
        <v>16043</v>
      </c>
      <c r="AG32" s="1494">
        <f t="shared" si="14"/>
        <v>97</v>
      </c>
      <c r="AH32" s="1429">
        <v>17244</v>
      </c>
      <c r="AI32" s="1493">
        <v>16138</v>
      </c>
      <c r="AJ32" s="1495">
        <f t="shared" si="15"/>
        <v>93.6</v>
      </c>
      <c r="AK32" s="1493">
        <v>16025</v>
      </c>
      <c r="AL32" s="1494">
        <f t="shared" si="16"/>
        <v>92.9</v>
      </c>
      <c r="AM32" s="1493">
        <v>16130</v>
      </c>
      <c r="AN32" s="1494">
        <f t="shared" si="17"/>
        <v>93.5</v>
      </c>
      <c r="AO32" s="1493">
        <v>16442</v>
      </c>
      <c r="AP32" s="1494">
        <f t="shared" si="18"/>
        <v>95.3</v>
      </c>
      <c r="AQ32" s="1493">
        <v>15985</v>
      </c>
      <c r="AR32" s="1494">
        <f t="shared" si="19"/>
        <v>92.7</v>
      </c>
      <c r="AS32" s="1493">
        <v>181</v>
      </c>
      <c r="AT32" s="1494">
        <f t="shared" si="31"/>
        <v>1.0496404546508931</v>
      </c>
      <c r="AU32" s="1493">
        <v>213</v>
      </c>
      <c r="AV32" s="1493">
        <v>408</v>
      </c>
      <c r="AW32" s="1493">
        <v>15067</v>
      </c>
      <c r="AX32" s="1494">
        <f t="shared" si="20"/>
        <v>87.4</v>
      </c>
      <c r="AY32" s="1493">
        <v>15169</v>
      </c>
      <c r="AZ32" s="1494">
        <f t="shared" si="21"/>
        <v>88</v>
      </c>
      <c r="BA32" s="1496">
        <v>18145</v>
      </c>
      <c r="BB32" s="1493">
        <v>15642</v>
      </c>
      <c r="BC32" s="1497">
        <f t="shared" si="22"/>
        <v>86.2</v>
      </c>
      <c r="BD32" s="1493">
        <v>15629</v>
      </c>
      <c r="BE32" s="1497">
        <f t="shared" si="23"/>
        <v>86.1</v>
      </c>
      <c r="BF32" s="1493">
        <v>15439</v>
      </c>
      <c r="BG32" s="1497">
        <f t="shared" si="24"/>
        <v>85.1</v>
      </c>
      <c r="BH32" s="1493">
        <v>5250</v>
      </c>
      <c r="BI32" s="1497">
        <f t="shared" si="25"/>
        <v>57.9</v>
      </c>
      <c r="BJ32" s="1493">
        <v>6244</v>
      </c>
      <c r="BK32" s="1493">
        <v>5111</v>
      </c>
      <c r="BL32" s="1498">
        <v>25762</v>
      </c>
      <c r="BM32" s="1493">
        <v>11737</v>
      </c>
      <c r="BN32" s="1499">
        <f t="shared" si="26"/>
        <v>45.559350982066611</v>
      </c>
      <c r="BO32" s="1493">
        <v>12288</v>
      </c>
      <c r="BP32" s="1497">
        <f t="shared" si="27"/>
        <v>74.3</v>
      </c>
      <c r="BQ32" s="1493">
        <v>12527</v>
      </c>
      <c r="BR32" s="1751">
        <f t="shared" si="28"/>
        <v>75.7</v>
      </c>
      <c r="BS32" s="1754">
        <v>7950</v>
      </c>
      <c r="BT32" s="1493">
        <v>2719</v>
      </c>
      <c r="BU32" s="1497">
        <f t="shared" si="29"/>
        <v>34.20125786163522</v>
      </c>
      <c r="BV32" s="1493">
        <v>608</v>
      </c>
      <c r="BW32" s="1739">
        <f t="shared" si="30"/>
        <v>7.6477987421383649</v>
      </c>
      <c r="BX32" s="1500">
        <v>22</v>
      </c>
      <c r="BY32" s="1501" t="s">
        <v>347</v>
      </c>
      <c r="BZ32" s="1501">
        <v>22</v>
      </c>
    </row>
    <row r="33" spans="1:78" s="1501" customFormat="1" ht="17.100000000000001" customHeight="1" x14ac:dyDescent="0.25">
      <c r="A33" s="1491" t="s">
        <v>271</v>
      </c>
      <c r="B33" s="1505" t="s">
        <v>127</v>
      </c>
      <c r="C33" s="1727">
        <v>8754</v>
      </c>
      <c r="D33" s="1738">
        <v>9280</v>
      </c>
      <c r="E33" s="1494">
        <f t="shared" si="0"/>
        <v>106</v>
      </c>
      <c r="F33" s="1493">
        <v>8722</v>
      </c>
      <c r="G33" s="1494">
        <f t="shared" si="1"/>
        <v>99.6</v>
      </c>
      <c r="H33" s="1493">
        <v>473</v>
      </c>
      <c r="I33" s="1494">
        <f t="shared" si="2"/>
        <v>5.4</v>
      </c>
      <c r="J33" s="1493">
        <v>9195</v>
      </c>
      <c r="K33" s="1494">
        <f t="shared" si="3"/>
        <v>105</v>
      </c>
      <c r="L33" s="1493">
        <v>9421</v>
      </c>
      <c r="M33" s="1494">
        <f t="shared" si="4"/>
        <v>107.6</v>
      </c>
      <c r="N33" s="1493">
        <v>8358</v>
      </c>
      <c r="O33" s="1494">
        <f t="shared" si="5"/>
        <v>95.5</v>
      </c>
      <c r="P33" s="1493">
        <v>9376</v>
      </c>
      <c r="Q33" s="1494">
        <f t="shared" si="6"/>
        <v>107.1</v>
      </c>
      <c r="R33" s="1493">
        <v>8924</v>
      </c>
      <c r="S33" s="1494">
        <f t="shared" si="7"/>
        <v>101.9</v>
      </c>
      <c r="T33" s="1493">
        <v>8310</v>
      </c>
      <c r="U33" s="1494">
        <f t="shared" si="8"/>
        <v>94.9</v>
      </c>
      <c r="V33" s="1493">
        <v>8829</v>
      </c>
      <c r="W33" s="1494">
        <f t="shared" si="9"/>
        <v>100.9</v>
      </c>
      <c r="X33" s="1493">
        <v>8475</v>
      </c>
      <c r="Y33" s="1494">
        <f t="shared" si="10"/>
        <v>96.8</v>
      </c>
      <c r="Z33" s="1493">
        <v>7086</v>
      </c>
      <c r="AA33" s="1494">
        <f t="shared" si="11"/>
        <v>80.900000000000006</v>
      </c>
      <c r="AB33" s="1493">
        <v>4883</v>
      </c>
      <c r="AC33" s="1494">
        <f t="shared" si="12"/>
        <v>55.8</v>
      </c>
      <c r="AD33" s="1493">
        <v>9526</v>
      </c>
      <c r="AE33" s="1494">
        <f t="shared" si="13"/>
        <v>108.8</v>
      </c>
      <c r="AF33" s="1493">
        <v>8941</v>
      </c>
      <c r="AG33" s="1494">
        <f t="shared" si="14"/>
        <v>102.1</v>
      </c>
      <c r="AH33" s="1429">
        <v>8761</v>
      </c>
      <c r="AI33" s="1493">
        <v>8275</v>
      </c>
      <c r="AJ33" s="1495">
        <f t="shared" si="15"/>
        <v>94.5</v>
      </c>
      <c r="AK33" s="1493">
        <v>8527</v>
      </c>
      <c r="AL33" s="1494">
        <f t="shared" si="16"/>
        <v>97.3</v>
      </c>
      <c r="AM33" s="1493">
        <v>8590</v>
      </c>
      <c r="AN33" s="1494">
        <f t="shared" si="17"/>
        <v>98</v>
      </c>
      <c r="AO33" s="1493">
        <v>7389</v>
      </c>
      <c r="AP33" s="1494">
        <f t="shared" si="18"/>
        <v>84.3</v>
      </c>
      <c r="AQ33" s="1493">
        <v>8360</v>
      </c>
      <c r="AR33" s="1494">
        <f t="shared" si="19"/>
        <v>95.4</v>
      </c>
      <c r="AS33" s="1493">
        <v>168</v>
      </c>
      <c r="AT33" s="1494">
        <f t="shared" si="31"/>
        <v>1.917589316288095</v>
      </c>
      <c r="AU33" s="1493">
        <v>144</v>
      </c>
      <c r="AV33" s="1493">
        <v>376</v>
      </c>
      <c r="AW33" s="1493">
        <v>7260</v>
      </c>
      <c r="AX33" s="1494">
        <f t="shared" si="20"/>
        <v>82.9</v>
      </c>
      <c r="AY33" s="1493">
        <v>7377</v>
      </c>
      <c r="AZ33" s="1494">
        <f t="shared" si="21"/>
        <v>84.2</v>
      </c>
      <c r="BA33" s="1496">
        <v>9365</v>
      </c>
      <c r="BB33" s="1493">
        <v>7853</v>
      </c>
      <c r="BC33" s="1497">
        <f t="shared" si="22"/>
        <v>83.9</v>
      </c>
      <c r="BD33" s="1493">
        <v>7685</v>
      </c>
      <c r="BE33" s="1497">
        <f t="shared" si="23"/>
        <v>82.1</v>
      </c>
      <c r="BF33" s="1493">
        <v>7515</v>
      </c>
      <c r="BG33" s="1497">
        <f t="shared" si="24"/>
        <v>80.2</v>
      </c>
      <c r="BH33" s="1493">
        <v>2267</v>
      </c>
      <c r="BI33" s="1497">
        <f t="shared" si="25"/>
        <v>48.4</v>
      </c>
      <c r="BJ33" s="1493">
        <v>2433</v>
      </c>
      <c r="BK33" s="1493">
        <v>3700</v>
      </c>
      <c r="BL33" s="1498">
        <v>15498</v>
      </c>
      <c r="BM33" s="1493">
        <v>9235</v>
      </c>
      <c r="BN33" s="1499">
        <f t="shared" si="26"/>
        <v>59.588333978577879</v>
      </c>
      <c r="BO33" s="1493">
        <v>5718</v>
      </c>
      <c r="BP33" s="1497">
        <f t="shared" si="27"/>
        <v>65.3</v>
      </c>
      <c r="BQ33" s="1493">
        <v>6830</v>
      </c>
      <c r="BR33" s="1751">
        <f t="shared" si="28"/>
        <v>78</v>
      </c>
      <c r="BS33" s="1754">
        <v>4490</v>
      </c>
      <c r="BT33" s="1493">
        <v>859</v>
      </c>
      <c r="BU33" s="1497">
        <f t="shared" si="29"/>
        <v>19.131403118040087</v>
      </c>
      <c r="BV33" s="1493">
        <v>118</v>
      </c>
      <c r="BW33" s="1739">
        <f t="shared" si="30"/>
        <v>2.6280623608017817</v>
      </c>
      <c r="BX33" s="1500">
        <v>23</v>
      </c>
      <c r="BY33" s="1501" t="s">
        <v>347</v>
      </c>
      <c r="BZ33" s="1501">
        <v>23</v>
      </c>
    </row>
    <row r="34" spans="1:78" s="1501" customFormat="1" ht="17.100000000000001" customHeight="1" x14ac:dyDescent="0.25">
      <c r="A34" s="1491" t="s">
        <v>272</v>
      </c>
      <c r="B34" s="1504" t="s">
        <v>29</v>
      </c>
      <c r="C34" s="1727">
        <v>15295</v>
      </c>
      <c r="D34" s="1738">
        <v>15102</v>
      </c>
      <c r="E34" s="1494">
        <f t="shared" si="0"/>
        <v>98.7</v>
      </c>
      <c r="F34" s="1493">
        <v>15155</v>
      </c>
      <c r="G34" s="1494">
        <f t="shared" si="1"/>
        <v>99.1</v>
      </c>
      <c r="H34" s="1493">
        <v>33</v>
      </c>
      <c r="I34" s="1494">
        <f t="shared" si="2"/>
        <v>0.2</v>
      </c>
      <c r="J34" s="1493">
        <v>15188</v>
      </c>
      <c r="K34" s="1494">
        <f t="shared" si="3"/>
        <v>99.3</v>
      </c>
      <c r="L34" s="1493">
        <v>14394</v>
      </c>
      <c r="M34" s="1494">
        <f t="shared" si="4"/>
        <v>94.1</v>
      </c>
      <c r="N34" s="1493">
        <v>14082</v>
      </c>
      <c r="O34" s="1494">
        <f t="shared" si="5"/>
        <v>92.1</v>
      </c>
      <c r="P34" s="1493">
        <v>14435</v>
      </c>
      <c r="Q34" s="1494">
        <f t="shared" si="6"/>
        <v>94.4</v>
      </c>
      <c r="R34" s="1493">
        <v>14303</v>
      </c>
      <c r="S34" s="1494">
        <f t="shared" si="7"/>
        <v>93.5</v>
      </c>
      <c r="T34" s="1493">
        <v>14077</v>
      </c>
      <c r="U34" s="1494">
        <f t="shared" si="8"/>
        <v>92</v>
      </c>
      <c r="V34" s="1493">
        <v>14078</v>
      </c>
      <c r="W34" s="1494">
        <f t="shared" si="9"/>
        <v>92</v>
      </c>
      <c r="X34" s="1493">
        <v>13945</v>
      </c>
      <c r="Y34" s="1494">
        <f t="shared" si="10"/>
        <v>91.2</v>
      </c>
      <c r="Z34" s="1493">
        <v>12083</v>
      </c>
      <c r="AA34" s="1494">
        <f t="shared" si="11"/>
        <v>79</v>
      </c>
      <c r="AB34" s="1493">
        <v>7713</v>
      </c>
      <c r="AC34" s="1494">
        <f t="shared" si="12"/>
        <v>50.4</v>
      </c>
      <c r="AD34" s="1493">
        <v>14628</v>
      </c>
      <c r="AE34" s="1494">
        <f t="shared" si="13"/>
        <v>95.6</v>
      </c>
      <c r="AF34" s="1493">
        <v>14355</v>
      </c>
      <c r="AG34" s="1494">
        <f t="shared" si="14"/>
        <v>93.9</v>
      </c>
      <c r="AH34" s="1429">
        <v>15688</v>
      </c>
      <c r="AI34" s="1493">
        <v>15009</v>
      </c>
      <c r="AJ34" s="1495">
        <f t="shared" si="15"/>
        <v>95.7</v>
      </c>
      <c r="AK34" s="1493">
        <v>14839</v>
      </c>
      <c r="AL34" s="1494">
        <f t="shared" si="16"/>
        <v>94.6</v>
      </c>
      <c r="AM34" s="1493">
        <v>14869</v>
      </c>
      <c r="AN34" s="1494">
        <f t="shared" si="17"/>
        <v>94.8</v>
      </c>
      <c r="AO34" s="1493">
        <v>15142</v>
      </c>
      <c r="AP34" s="1494">
        <f t="shared" si="18"/>
        <v>96.5</v>
      </c>
      <c r="AQ34" s="1493">
        <v>14722</v>
      </c>
      <c r="AR34" s="1494">
        <f t="shared" si="19"/>
        <v>93.8</v>
      </c>
      <c r="AS34" s="1493">
        <v>149</v>
      </c>
      <c r="AT34" s="1494">
        <f t="shared" si="31"/>
        <v>0.94977052524222327</v>
      </c>
      <c r="AU34" s="1493">
        <v>150</v>
      </c>
      <c r="AV34" s="1493">
        <v>128</v>
      </c>
      <c r="AW34" s="1493">
        <v>13815</v>
      </c>
      <c r="AX34" s="1494">
        <f t="shared" si="20"/>
        <v>88.1</v>
      </c>
      <c r="AY34" s="1493">
        <v>13875</v>
      </c>
      <c r="AZ34" s="1494">
        <f t="shared" si="21"/>
        <v>88.4</v>
      </c>
      <c r="BA34" s="1496">
        <v>16814</v>
      </c>
      <c r="BB34" s="1493">
        <v>14841</v>
      </c>
      <c r="BC34" s="1497">
        <f t="shared" si="22"/>
        <v>88.3</v>
      </c>
      <c r="BD34" s="1493">
        <v>14914</v>
      </c>
      <c r="BE34" s="1497">
        <f t="shared" si="23"/>
        <v>88.7</v>
      </c>
      <c r="BF34" s="1493">
        <v>14845</v>
      </c>
      <c r="BG34" s="1497">
        <f t="shared" si="24"/>
        <v>88.3</v>
      </c>
      <c r="BH34" s="1493">
        <v>5365</v>
      </c>
      <c r="BI34" s="1497">
        <f t="shared" si="25"/>
        <v>63.8</v>
      </c>
      <c r="BJ34" s="1493">
        <v>10972</v>
      </c>
      <c r="BK34" s="1493">
        <v>7758</v>
      </c>
      <c r="BL34" s="1498">
        <v>31346</v>
      </c>
      <c r="BM34" s="1493">
        <v>20213</v>
      </c>
      <c r="BN34" s="1499">
        <f t="shared" si="26"/>
        <v>64.483506667517389</v>
      </c>
      <c r="BO34" s="1493">
        <v>10789</v>
      </c>
      <c r="BP34" s="1497">
        <f t="shared" si="27"/>
        <v>70.5</v>
      </c>
      <c r="BQ34" s="1493">
        <v>12065</v>
      </c>
      <c r="BR34" s="1751">
        <f t="shared" si="28"/>
        <v>78.900000000000006</v>
      </c>
      <c r="BS34" s="1754">
        <v>8487</v>
      </c>
      <c r="BT34" s="1493">
        <v>3036</v>
      </c>
      <c r="BU34" s="1497">
        <f t="shared" si="29"/>
        <v>35.772357723577237</v>
      </c>
      <c r="BV34" s="1493">
        <v>744</v>
      </c>
      <c r="BW34" s="1739">
        <f t="shared" si="30"/>
        <v>8.7663485330505484</v>
      </c>
      <c r="BX34" s="1500">
        <v>24</v>
      </c>
      <c r="BY34" s="1501" t="s">
        <v>346</v>
      </c>
      <c r="BZ34" s="1501">
        <v>24</v>
      </c>
    </row>
    <row r="35" spans="1:78" s="1501" customFormat="1" ht="17.100000000000001" customHeight="1" x14ac:dyDescent="0.25">
      <c r="A35" s="1491" t="s">
        <v>273</v>
      </c>
      <c r="B35" s="1504" t="s">
        <v>30</v>
      </c>
      <c r="C35" s="1727">
        <v>20024</v>
      </c>
      <c r="D35" s="1738">
        <v>17141</v>
      </c>
      <c r="E35" s="1494">
        <f t="shared" si="0"/>
        <v>85.6</v>
      </c>
      <c r="F35" s="1493">
        <v>15689</v>
      </c>
      <c r="G35" s="1494">
        <f t="shared" si="1"/>
        <v>78.400000000000006</v>
      </c>
      <c r="H35" s="1493">
        <v>1100</v>
      </c>
      <c r="I35" s="1494">
        <f t="shared" si="2"/>
        <v>5.5</v>
      </c>
      <c r="J35" s="1493">
        <v>16789</v>
      </c>
      <c r="K35" s="1494">
        <f t="shared" si="3"/>
        <v>83.8</v>
      </c>
      <c r="L35" s="1493">
        <v>17444</v>
      </c>
      <c r="M35" s="1494">
        <f t="shared" si="4"/>
        <v>87.1</v>
      </c>
      <c r="N35" s="1493">
        <v>17243</v>
      </c>
      <c r="O35" s="1494">
        <f t="shared" si="5"/>
        <v>86.1</v>
      </c>
      <c r="P35" s="1493">
        <v>17447</v>
      </c>
      <c r="Q35" s="1494">
        <f t="shared" si="6"/>
        <v>87.1</v>
      </c>
      <c r="R35" s="1493">
        <v>17388</v>
      </c>
      <c r="S35" s="1494">
        <f t="shared" si="7"/>
        <v>86.8</v>
      </c>
      <c r="T35" s="1493">
        <v>17226</v>
      </c>
      <c r="U35" s="1494">
        <f t="shared" si="8"/>
        <v>86</v>
      </c>
      <c r="V35" s="1493">
        <v>16936</v>
      </c>
      <c r="W35" s="1494">
        <f t="shared" si="9"/>
        <v>84.6</v>
      </c>
      <c r="X35" s="1493">
        <v>17033</v>
      </c>
      <c r="Y35" s="1494">
        <f t="shared" si="10"/>
        <v>85.1</v>
      </c>
      <c r="Z35" s="1493">
        <v>15156</v>
      </c>
      <c r="AA35" s="1494">
        <f t="shared" si="11"/>
        <v>75.7</v>
      </c>
      <c r="AB35" s="1493">
        <v>12429</v>
      </c>
      <c r="AC35" s="1494">
        <f t="shared" si="12"/>
        <v>62.1</v>
      </c>
      <c r="AD35" s="1493">
        <v>17497</v>
      </c>
      <c r="AE35" s="1494">
        <f t="shared" si="13"/>
        <v>87.4</v>
      </c>
      <c r="AF35" s="1493">
        <v>17421</v>
      </c>
      <c r="AG35" s="1494">
        <f t="shared" si="14"/>
        <v>87</v>
      </c>
      <c r="AH35" s="1429">
        <v>20729</v>
      </c>
      <c r="AI35" s="1493">
        <v>18356</v>
      </c>
      <c r="AJ35" s="1495">
        <f t="shared" si="15"/>
        <v>88.6</v>
      </c>
      <c r="AK35" s="1493">
        <v>18355</v>
      </c>
      <c r="AL35" s="1494">
        <f t="shared" si="16"/>
        <v>88.5</v>
      </c>
      <c r="AM35" s="1493">
        <v>18411</v>
      </c>
      <c r="AN35" s="1494">
        <f t="shared" si="17"/>
        <v>88.8</v>
      </c>
      <c r="AO35" s="1493">
        <v>17366</v>
      </c>
      <c r="AP35" s="1494">
        <f t="shared" si="18"/>
        <v>83.8</v>
      </c>
      <c r="AQ35" s="1493">
        <v>18249</v>
      </c>
      <c r="AR35" s="1494">
        <f t="shared" si="19"/>
        <v>88</v>
      </c>
      <c r="AS35" s="1493">
        <v>89</v>
      </c>
      <c r="AT35" s="1494">
        <f t="shared" si="31"/>
        <v>0.4293501857301365</v>
      </c>
      <c r="AU35" s="1493">
        <v>182</v>
      </c>
      <c r="AV35" s="1493">
        <v>204</v>
      </c>
      <c r="AW35" s="1493">
        <v>17391</v>
      </c>
      <c r="AX35" s="1494">
        <f t="shared" si="20"/>
        <v>83.9</v>
      </c>
      <c r="AY35" s="1493">
        <v>17389</v>
      </c>
      <c r="AZ35" s="1494">
        <f t="shared" si="21"/>
        <v>83.9</v>
      </c>
      <c r="BA35" s="1496">
        <v>22304</v>
      </c>
      <c r="BB35" s="1493">
        <v>19070</v>
      </c>
      <c r="BC35" s="1497">
        <f t="shared" si="22"/>
        <v>85.5</v>
      </c>
      <c r="BD35" s="1493">
        <v>19069</v>
      </c>
      <c r="BE35" s="1497">
        <f t="shared" si="23"/>
        <v>85.5</v>
      </c>
      <c r="BF35" s="1493">
        <v>19160</v>
      </c>
      <c r="BG35" s="1497">
        <f t="shared" si="24"/>
        <v>85.9</v>
      </c>
      <c r="BH35" s="1493">
        <v>8172</v>
      </c>
      <c r="BI35" s="1497">
        <f t="shared" si="25"/>
        <v>73.3</v>
      </c>
      <c r="BJ35" s="1493">
        <v>5017</v>
      </c>
      <c r="BK35" s="1493">
        <v>9264</v>
      </c>
      <c r="BL35" s="1498">
        <v>62101</v>
      </c>
      <c r="BM35" s="1493">
        <v>67421</v>
      </c>
      <c r="BN35" s="1499">
        <f t="shared" si="26"/>
        <v>108.56668974734707</v>
      </c>
      <c r="BO35" s="1493">
        <v>13686</v>
      </c>
      <c r="BP35" s="1497">
        <f t="shared" si="27"/>
        <v>68.3</v>
      </c>
      <c r="BQ35" s="1493">
        <v>14895</v>
      </c>
      <c r="BR35" s="1751">
        <f t="shared" si="28"/>
        <v>74.400000000000006</v>
      </c>
      <c r="BS35" s="1754">
        <v>13201</v>
      </c>
      <c r="BT35" s="1493">
        <v>7053</v>
      </c>
      <c r="BU35" s="1497">
        <f t="shared" si="29"/>
        <v>53.427770623437624</v>
      </c>
      <c r="BV35" s="1493">
        <v>4215</v>
      </c>
      <c r="BW35" s="1739">
        <f t="shared" si="30"/>
        <v>31.929399287932732</v>
      </c>
      <c r="BX35" s="1500">
        <v>25</v>
      </c>
      <c r="BY35" s="1501" t="s">
        <v>352</v>
      </c>
      <c r="BZ35" s="1501">
        <v>25</v>
      </c>
    </row>
    <row r="36" spans="1:78" s="1501" customFormat="1" ht="17.100000000000001" customHeight="1" x14ac:dyDescent="0.25">
      <c r="A36" s="1491" t="s">
        <v>274</v>
      </c>
      <c r="B36" s="1504" t="s">
        <v>125</v>
      </c>
      <c r="C36" s="1727">
        <v>22545</v>
      </c>
      <c r="D36" s="1738">
        <v>19759</v>
      </c>
      <c r="E36" s="1494">
        <f t="shared" si="0"/>
        <v>87.6</v>
      </c>
      <c r="F36" s="1493">
        <v>19431</v>
      </c>
      <c r="G36" s="1494">
        <f t="shared" si="1"/>
        <v>86.2</v>
      </c>
      <c r="H36" s="1493">
        <v>136</v>
      </c>
      <c r="I36" s="1494">
        <f t="shared" si="2"/>
        <v>0.6</v>
      </c>
      <c r="J36" s="1493">
        <v>19567</v>
      </c>
      <c r="K36" s="1494">
        <f t="shared" si="3"/>
        <v>86.8</v>
      </c>
      <c r="L36" s="1493">
        <v>23151</v>
      </c>
      <c r="M36" s="1494">
        <f t="shared" si="4"/>
        <v>102.7</v>
      </c>
      <c r="N36" s="1493">
        <v>22442</v>
      </c>
      <c r="O36" s="1494">
        <f t="shared" si="5"/>
        <v>99.5</v>
      </c>
      <c r="P36" s="1493">
        <v>23170</v>
      </c>
      <c r="Q36" s="1494">
        <f t="shared" si="6"/>
        <v>102.8</v>
      </c>
      <c r="R36" s="1493">
        <v>22572</v>
      </c>
      <c r="S36" s="1494">
        <f t="shared" si="7"/>
        <v>100.1</v>
      </c>
      <c r="T36" s="1493">
        <v>22524</v>
      </c>
      <c r="U36" s="1494">
        <f t="shared" si="8"/>
        <v>99.9</v>
      </c>
      <c r="V36" s="1493">
        <v>22251</v>
      </c>
      <c r="W36" s="1494">
        <f t="shared" si="9"/>
        <v>98.7</v>
      </c>
      <c r="X36" s="1493">
        <v>21845</v>
      </c>
      <c r="Y36" s="1494">
        <f t="shared" si="10"/>
        <v>96.9</v>
      </c>
      <c r="Z36" s="1493">
        <v>21325</v>
      </c>
      <c r="AA36" s="1494">
        <f t="shared" si="11"/>
        <v>94.6</v>
      </c>
      <c r="AB36" s="1493">
        <v>14707</v>
      </c>
      <c r="AC36" s="1494">
        <f t="shared" si="12"/>
        <v>65.2</v>
      </c>
      <c r="AD36" s="1493">
        <v>23788</v>
      </c>
      <c r="AE36" s="1494">
        <f t="shared" si="13"/>
        <v>105.5</v>
      </c>
      <c r="AF36" s="1493">
        <v>22701</v>
      </c>
      <c r="AG36" s="1494">
        <f t="shared" si="14"/>
        <v>100.7</v>
      </c>
      <c r="AH36" s="1429">
        <v>22922</v>
      </c>
      <c r="AI36" s="1493">
        <v>22433</v>
      </c>
      <c r="AJ36" s="1495">
        <f t="shared" si="15"/>
        <v>97.9</v>
      </c>
      <c r="AK36" s="1493">
        <v>19185</v>
      </c>
      <c r="AL36" s="1494">
        <f t="shared" si="16"/>
        <v>83.7</v>
      </c>
      <c r="AM36" s="1493">
        <v>22461</v>
      </c>
      <c r="AN36" s="1494">
        <f t="shared" si="17"/>
        <v>98</v>
      </c>
      <c r="AO36" s="1493">
        <v>24433</v>
      </c>
      <c r="AP36" s="1494">
        <f t="shared" si="18"/>
        <v>106.6</v>
      </c>
      <c r="AQ36" s="1493">
        <v>21293</v>
      </c>
      <c r="AR36" s="1494">
        <f t="shared" si="19"/>
        <v>92.9</v>
      </c>
      <c r="AS36" s="1493">
        <v>582</v>
      </c>
      <c r="AT36" s="1494">
        <f t="shared" si="31"/>
        <v>2.5390454585114739</v>
      </c>
      <c r="AU36" s="1493">
        <v>553</v>
      </c>
      <c r="AV36" s="1493">
        <v>553</v>
      </c>
      <c r="AW36" s="1493">
        <v>18581</v>
      </c>
      <c r="AX36" s="1494">
        <f t="shared" si="20"/>
        <v>81.099999999999994</v>
      </c>
      <c r="AY36" s="1493">
        <v>18574</v>
      </c>
      <c r="AZ36" s="1494">
        <f t="shared" si="21"/>
        <v>81</v>
      </c>
      <c r="BA36" s="1496">
        <v>23003</v>
      </c>
      <c r="BB36" s="1493">
        <v>20368</v>
      </c>
      <c r="BC36" s="1497">
        <f t="shared" si="22"/>
        <v>88.5</v>
      </c>
      <c r="BD36" s="1493">
        <v>20290</v>
      </c>
      <c r="BE36" s="1497">
        <f t="shared" si="23"/>
        <v>88.2</v>
      </c>
      <c r="BF36" s="1493">
        <v>20319</v>
      </c>
      <c r="BG36" s="1497">
        <f t="shared" si="24"/>
        <v>88.3</v>
      </c>
      <c r="BH36" s="1493">
        <v>7331</v>
      </c>
      <c r="BI36" s="1497">
        <f t="shared" si="25"/>
        <v>63.7</v>
      </c>
      <c r="BJ36" s="1493">
        <v>14297</v>
      </c>
      <c r="BK36" s="1493">
        <v>13753</v>
      </c>
      <c r="BL36" s="1498">
        <v>48341</v>
      </c>
      <c r="BM36" s="1493">
        <v>51357</v>
      </c>
      <c r="BN36" s="1499">
        <f t="shared" si="26"/>
        <v>106.23901036387331</v>
      </c>
      <c r="BO36" s="1493">
        <v>15959</v>
      </c>
      <c r="BP36" s="1497">
        <f t="shared" si="27"/>
        <v>70.8</v>
      </c>
      <c r="BQ36" s="1493">
        <v>17151</v>
      </c>
      <c r="BR36" s="1751">
        <f t="shared" si="28"/>
        <v>76.099999999999994</v>
      </c>
      <c r="BS36" s="1754">
        <v>11287</v>
      </c>
      <c r="BT36" s="1493">
        <v>3218</v>
      </c>
      <c r="BU36" s="1497">
        <f t="shared" si="29"/>
        <v>28.510675998936829</v>
      </c>
      <c r="BV36" s="1493">
        <v>954</v>
      </c>
      <c r="BW36" s="1739">
        <f t="shared" si="30"/>
        <v>8.4522016479135296</v>
      </c>
      <c r="BX36" s="1500">
        <v>26</v>
      </c>
      <c r="BY36" s="1501" t="s">
        <v>345</v>
      </c>
      <c r="BZ36" s="1501">
        <v>26</v>
      </c>
    </row>
    <row r="37" spans="1:78" s="1501" customFormat="1" ht="17.100000000000001" customHeight="1" x14ac:dyDescent="0.25">
      <c r="A37" s="1491" t="s">
        <v>275</v>
      </c>
      <c r="B37" s="1504" t="s">
        <v>31</v>
      </c>
      <c r="C37" s="1727">
        <v>4724</v>
      </c>
      <c r="D37" s="1738">
        <v>4108</v>
      </c>
      <c r="E37" s="1494">
        <f t="shared" si="0"/>
        <v>87</v>
      </c>
      <c r="F37" s="1493">
        <v>3802</v>
      </c>
      <c r="G37" s="1494">
        <f t="shared" si="1"/>
        <v>80.5</v>
      </c>
      <c r="H37" s="1493">
        <v>215</v>
      </c>
      <c r="I37" s="1494">
        <f t="shared" si="2"/>
        <v>4.5999999999999996</v>
      </c>
      <c r="J37" s="1493">
        <v>4017</v>
      </c>
      <c r="K37" s="1494">
        <f t="shared" si="3"/>
        <v>85</v>
      </c>
      <c r="L37" s="1493">
        <v>4633</v>
      </c>
      <c r="M37" s="1494">
        <f t="shared" si="4"/>
        <v>98.1</v>
      </c>
      <c r="N37" s="1493">
        <v>4629</v>
      </c>
      <c r="O37" s="1494">
        <f t="shared" si="5"/>
        <v>98</v>
      </c>
      <c r="P37" s="1493">
        <v>4631</v>
      </c>
      <c r="Q37" s="1494">
        <f t="shared" si="6"/>
        <v>98</v>
      </c>
      <c r="R37" s="1493">
        <v>4683</v>
      </c>
      <c r="S37" s="1494">
        <f t="shared" si="7"/>
        <v>99.1</v>
      </c>
      <c r="T37" s="1493">
        <v>4632</v>
      </c>
      <c r="U37" s="1494">
        <f t="shared" si="8"/>
        <v>98.1</v>
      </c>
      <c r="V37" s="1493">
        <v>4505</v>
      </c>
      <c r="W37" s="1494">
        <f t="shared" si="9"/>
        <v>95.4</v>
      </c>
      <c r="X37" s="1493">
        <v>4577</v>
      </c>
      <c r="Y37" s="1494">
        <f t="shared" si="10"/>
        <v>96.9</v>
      </c>
      <c r="Z37" s="1493">
        <v>2754</v>
      </c>
      <c r="AA37" s="1494">
        <f t="shared" si="11"/>
        <v>58.3</v>
      </c>
      <c r="AB37" s="1493">
        <v>2299</v>
      </c>
      <c r="AC37" s="1494">
        <f t="shared" si="12"/>
        <v>48.7</v>
      </c>
      <c r="AD37" s="1493">
        <v>4664</v>
      </c>
      <c r="AE37" s="1494">
        <f t="shared" si="13"/>
        <v>98.7</v>
      </c>
      <c r="AF37" s="1493">
        <v>4682</v>
      </c>
      <c r="AG37" s="1494">
        <f t="shared" si="14"/>
        <v>99.1</v>
      </c>
      <c r="AH37" s="1429">
        <v>4982</v>
      </c>
      <c r="AI37" s="1493">
        <v>4785</v>
      </c>
      <c r="AJ37" s="1495">
        <f t="shared" si="15"/>
        <v>96</v>
      </c>
      <c r="AK37" s="1493">
        <v>4763</v>
      </c>
      <c r="AL37" s="1494">
        <f t="shared" si="16"/>
        <v>95.6</v>
      </c>
      <c r="AM37" s="1493">
        <v>4820</v>
      </c>
      <c r="AN37" s="1494">
        <f t="shared" si="17"/>
        <v>96.7</v>
      </c>
      <c r="AO37" s="1493">
        <v>4932</v>
      </c>
      <c r="AP37" s="1494">
        <f t="shared" si="18"/>
        <v>99</v>
      </c>
      <c r="AQ37" s="1493">
        <v>4715</v>
      </c>
      <c r="AR37" s="1494">
        <f t="shared" si="19"/>
        <v>94.6</v>
      </c>
      <c r="AS37" s="1493">
        <v>39</v>
      </c>
      <c r="AT37" s="1494">
        <f t="shared" si="31"/>
        <v>0.78281814532316341</v>
      </c>
      <c r="AU37" s="1493">
        <v>51</v>
      </c>
      <c r="AV37" s="1493">
        <v>70</v>
      </c>
      <c r="AW37" s="1493">
        <v>4578</v>
      </c>
      <c r="AX37" s="1494">
        <f t="shared" si="20"/>
        <v>91.9</v>
      </c>
      <c r="AY37" s="1493">
        <v>4579</v>
      </c>
      <c r="AZ37" s="1494">
        <f t="shared" si="21"/>
        <v>91.9</v>
      </c>
      <c r="BA37" s="1496">
        <v>5461</v>
      </c>
      <c r="BB37" s="1493">
        <v>4927</v>
      </c>
      <c r="BC37" s="1497">
        <f t="shared" si="22"/>
        <v>90.2</v>
      </c>
      <c r="BD37" s="1493">
        <v>4985</v>
      </c>
      <c r="BE37" s="1497">
        <f t="shared" si="23"/>
        <v>91.3</v>
      </c>
      <c r="BF37" s="1493">
        <v>5000</v>
      </c>
      <c r="BG37" s="1497">
        <f t="shared" si="24"/>
        <v>91.6</v>
      </c>
      <c r="BH37" s="1493">
        <v>1858</v>
      </c>
      <c r="BI37" s="1497">
        <f t="shared" si="25"/>
        <v>68</v>
      </c>
      <c r="BJ37" s="1493">
        <v>547</v>
      </c>
      <c r="BK37" s="1493">
        <v>1468</v>
      </c>
      <c r="BL37" s="1498">
        <v>8818</v>
      </c>
      <c r="BM37" s="1493">
        <v>9035</v>
      </c>
      <c r="BN37" s="1499">
        <f t="shared" si="26"/>
        <v>102.4608754819687</v>
      </c>
      <c r="BO37" s="1493">
        <v>2955</v>
      </c>
      <c r="BP37" s="1497">
        <f t="shared" si="27"/>
        <v>62.6</v>
      </c>
      <c r="BQ37" s="1493">
        <v>3769</v>
      </c>
      <c r="BR37" s="1751">
        <f t="shared" si="28"/>
        <v>79.8</v>
      </c>
      <c r="BS37" s="1754">
        <v>2820</v>
      </c>
      <c r="BT37" s="1493">
        <v>1450</v>
      </c>
      <c r="BU37" s="1497">
        <f t="shared" si="29"/>
        <v>51.418439716312058</v>
      </c>
      <c r="BV37" s="1493">
        <v>592</v>
      </c>
      <c r="BW37" s="1739">
        <f t="shared" si="30"/>
        <v>20.99290780141844</v>
      </c>
      <c r="BX37" s="1500">
        <v>27</v>
      </c>
      <c r="BY37" s="1501" t="s">
        <v>344</v>
      </c>
      <c r="BZ37" s="1501">
        <v>27</v>
      </c>
    </row>
    <row r="38" spans="1:78" s="1501" customFormat="1" ht="17.100000000000001" customHeight="1" x14ac:dyDescent="0.25">
      <c r="A38" s="1491" t="s">
        <v>276</v>
      </c>
      <c r="B38" s="1504" t="s">
        <v>32</v>
      </c>
      <c r="C38" s="1727">
        <v>5600</v>
      </c>
      <c r="D38" s="1738">
        <v>5454</v>
      </c>
      <c r="E38" s="1494">
        <f t="shared" si="0"/>
        <v>97.4</v>
      </c>
      <c r="F38" s="1493">
        <v>4848</v>
      </c>
      <c r="G38" s="1494">
        <f t="shared" si="1"/>
        <v>86.6</v>
      </c>
      <c r="H38" s="1493">
        <v>593</v>
      </c>
      <c r="I38" s="1494">
        <f t="shared" si="2"/>
        <v>10.6</v>
      </c>
      <c r="J38" s="1493">
        <v>5441</v>
      </c>
      <c r="K38" s="1494">
        <f t="shared" si="3"/>
        <v>97.2</v>
      </c>
      <c r="L38" s="1493">
        <v>5186</v>
      </c>
      <c r="M38" s="1494">
        <f t="shared" si="4"/>
        <v>92.6</v>
      </c>
      <c r="N38" s="1493">
        <v>5177</v>
      </c>
      <c r="O38" s="1494">
        <f t="shared" si="5"/>
        <v>92.4</v>
      </c>
      <c r="P38" s="1493">
        <v>5174</v>
      </c>
      <c r="Q38" s="1494">
        <f t="shared" si="6"/>
        <v>92.4</v>
      </c>
      <c r="R38" s="1493">
        <v>5220</v>
      </c>
      <c r="S38" s="1494">
        <f t="shared" si="7"/>
        <v>93.2</v>
      </c>
      <c r="T38" s="1493">
        <v>5171</v>
      </c>
      <c r="U38" s="1494">
        <f t="shared" si="8"/>
        <v>92.3</v>
      </c>
      <c r="V38" s="1493">
        <v>5209</v>
      </c>
      <c r="W38" s="1494">
        <f t="shared" si="9"/>
        <v>93</v>
      </c>
      <c r="X38" s="1493">
        <v>5283</v>
      </c>
      <c r="Y38" s="1494">
        <f t="shared" si="10"/>
        <v>94.3</v>
      </c>
      <c r="Z38" s="1493">
        <v>3904</v>
      </c>
      <c r="AA38" s="1494">
        <f t="shared" si="11"/>
        <v>69.7</v>
      </c>
      <c r="AB38" s="1493">
        <v>3514</v>
      </c>
      <c r="AC38" s="1494">
        <f t="shared" si="12"/>
        <v>62.8</v>
      </c>
      <c r="AD38" s="1493">
        <v>5326</v>
      </c>
      <c r="AE38" s="1494">
        <f t="shared" si="13"/>
        <v>95.1</v>
      </c>
      <c r="AF38" s="1493">
        <v>5282</v>
      </c>
      <c r="AG38" s="1494">
        <f t="shared" si="14"/>
        <v>94.3</v>
      </c>
      <c r="AH38" s="1429">
        <v>5784</v>
      </c>
      <c r="AI38" s="1493">
        <v>5523</v>
      </c>
      <c r="AJ38" s="1495">
        <f t="shared" si="15"/>
        <v>95.5</v>
      </c>
      <c r="AK38" s="1493">
        <v>5491</v>
      </c>
      <c r="AL38" s="1494">
        <f t="shared" si="16"/>
        <v>94.9</v>
      </c>
      <c r="AM38" s="1493">
        <v>5519</v>
      </c>
      <c r="AN38" s="1494">
        <f t="shared" si="17"/>
        <v>95.4</v>
      </c>
      <c r="AO38" s="1493">
        <v>5492</v>
      </c>
      <c r="AP38" s="1494">
        <f t="shared" si="18"/>
        <v>95</v>
      </c>
      <c r="AQ38" s="1493">
        <v>5463</v>
      </c>
      <c r="AR38" s="1494">
        <f t="shared" si="19"/>
        <v>94.5</v>
      </c>
      <c r="AS38" s="1493">
        <v>17</v>
      </c>
      <c r="AT38" s="1494">
        <f t="shared" si="31"/>
        <v>0.29391424619640388</v>
      </c>
      <c r="AU38" s="1493">
        <v>19</v>
      </c>
      <c r="AV38" s="1493">
        <v>39</v>
      </c>
      <c r="AW38" s="1493">
        <v>5478</v>
      </c>
      <c r="AX38" s="1494">
        <f t="shared" si="20"/>
        <v>94.7</v>
      </c>
      <c r="AY38" s="1493">
        <v>5483</v>
      </c>
      <c r="AZ38" s="1494">
        <f t="shared" si="21"/>
        <v>94.8</v>
      </c>
      <c r="BA38" s="1496">
        <v>6398</v>
      </c>
      <c r="BB38" s="1493">
        <v>5740</v>
      </c>
      <c r="BC38" s="1497">
        <f t="shared" si="22"/>
        <v>89.7</v>
      </c>
      <c r="BD38" s="1493">
        <v>5698</v>
      </c>
      <c r="BE38" s="1497">
        <f t="shared" si="23"/>
        <v>89.1</v>
      </c>
      <c r="BF38" s="1493">
        <v>5695</v>
      </c>
      <c r="BG38" s="1497">
        <f t="shared" si="24"/>
        <v>89</v>
      </c>
      <c r="BH38" s="1493">
        <v>2290</v>
      </c>
      <c r="BI38" s="1497">
        <f t="shared" si="25"/>
        <v>71.599999999999994</v>
      </c>
      <c r="BJ38" s="1493">
        <v>3984</v>
      </c>
      <c r="BK38" s="1493">
        <v>6535</v>
      </c>
      <c r="BL38" s="1498">
        <v>26909</v>
      </c>
      <c r="BM38" s="1493">
        <v>23310</v>
      </c>
      <c r="BN38" s="1499">
        <f t="shared" si="26"/>
        <v>86.62529265301572</v>
      </c>
      <c r="BO38" s="1493">
        <v>3992</v>
      </c>
      <c r="BP38" s="1497">
        <f t="shared" si="27"/>
        <v>71.3</v>
      </c>
      <c r="BQ38" s="1493">
        <v>4881</v>
      </c>
      <c r="BR38" s="1751">
        <f t="shared" si="28"/>
        <v>87.2</v>
      </c>
      <c r="BS38" s="1754">
        <v>3791</v>
      </c>
      <c r="BT38" s="1493">
        <v>1496</v>
      </c>
      <c r="BU38" s="1497">
        <f t="shared" si="29"/>
        <v>39.461883408071749</v>
      </c>
      <c r="BV38" s="1493">
        <v>546</v>
      </c>
      <c r="BW38" s="1739">
        <f t="shared" si="30"/>
        <v>14.402532313373781</v>
      </c>
      <c r="BX38" s="1500">
        <v>28</v>
      </c>
      <c r="BY38" s="1501" t="s">
        <v>345</v>
      </c>
      <c r="BZ38" s="1501">
        <v>28</v>
      </c>
    </row>
    <row r="39" spans="1:78" s="1501" customFormat="1" ht="17.100000000000001" customHeight="1" x14ac:dyDescent="0.25">
      <c r="A39" s="1491" t="s">
        <v>279</v>
      </c>
      <c r="B39" s="1504" t="s">
        <v>33</v>
      </c>
      <c r="C39" s="1727">
        <v>10258</v>
      </c>
      <c r="D39" s="1738">
        <v>10691</v>
      </c>
      <c r="E39" s="1494">
        <f t="shared" si="0"/>
        <v>104.2</v>
      </c>
      <c r="F39" s="1493">
        <v>10161</v>
      </c>
      <c r="G39" s="1494">
        <f t="shared" si="1"/>
        <v>99.1</v>
      </c>
      <c r="H39" s="1493">
        <v>410</v>
      </c>
      <c r="I39" s="1494">
        <f t="shared" si="2"/>
        <v>4</v>
      </c>
      <c r="J39" s="1493">
        <v>10571</v>
      </c>
      <c r="K39" s="1494">
        <f t="shared" si="3"/>
        <v>103.1</v>
      </c>
      <c r="L39" s="1493">
        <v>10046</v>
      </c>
      <c r="M39" s="1494">
        <f t="shared" si="4"/>
        <v>97.9</v>
      </c>
      <c r="N39" s="1493">
        <v>10122</v>
      </c>
      <c r="O39" s="1494">
        <f t="shared" si="5"/>
        <v>98.7</v>
      </c>
      <c r="P39" s="1493">
        <v>10061</v>
      </c>
      <c r="Q39" s="1494">
        <f t="shared" si="6"/>
        <v>98.1</v>
      </c>
      <c r="R39" s="1493">
        <v>10058</v>
      </c>
      <c r="S39" s="1494">
        <f t="shared" si="7"/>
        <v>98.1</v>
      </c>
      <c r="T39" s="1493">
        <v>10130</v>
      </c>
      <c r="U39" s="1494">
        <f t="shared" si="8"/>
        <v>98.8</v>
      </c>
      <c r="V39" s="1493">
        <v>9823</v>
      </c>
      <c r="W39" s="1494">
        <f t="shared" si="9"/>
        <v>95.8</v>
      </c>
      <c r="X39" s="1493">
        <v>9814</v>
      </c>
      <c r="Y39" s="1494">
        <f t="shared" si="10"/>
        <v>95.7</v>
      </c>
      <c r="Z39" s="1493">
        <v>7915</v>
      </c>
      <c r="AA39" s="1494">
        <f t="shared" si="11"/>
        <v>77.2</v>
      </c>
      <c r="AB39" s="1493">
        <v>6161</v>
      </c>
      <c r="AC39" s="1494">
        <f t="shared" si="12"/>
        <v>60.1</v>
      </c>
      <c r="AD39" s="1493">
        <v>10151</v>
      </c>
      <c r="AE39" s="1494">
        <f t="shared" si="13"/>
        <v>99</v>
      </c>
      <c r="AF39" s="1493">
        <v>10089</v>
      </c>
      <c r="AG39" s="1494">
        <f t="shared" si="14"/>
        <v>98.4</v>
      </c>
      <c r="AH39" s="1429">
        <v>10714</v>
      </c>
      <c r="AI39" s="1493">
        <v>10612</v>
      </c>
      <c r="AJ39" s="1495">
        <f t="shared" si="15"/>
        <v>99</v>
      </c>
      <c r="AK39" s="1493">
        <v>10914</v>
      </c>
      <c r="AL39" s="1494">
        <f t="shared" si="16"/>
        <v>101.9</v>
      </c>
      <c r="AM39" s="1493">
        <v>10946</v>
      </c>
      <c r="AN39" s="1494">
        <f t="shared" si="17"/>
        <v>102.2</v>
      </c>
      <c r="AO39" s="1493">
        <v>10145</v>
      </c>
      <c r="AP39" s="1494">
        <f t="shared" si="18"/>
        <v>94.7</v>
      </c>
      <c r="AQ39" s="1493">
        <v>10407</v>
      </c>
      <c r="AR39" s="1494">
        <f t="shared" si="19"/>
        <v>97.1</v>
      </c>
      <c r="AS39" s="1493">
        <v>237</v>
      </c>
      <c r="AT39" s="1494">
        <f t="shared" si="31"/>
        <v>2.2120589882396864</v>
      </c>
      <c r="AU39" s="1493">
        <v>179</v>
      </c>
      <c r="AV39" s="1493">
        <v>326</v>
      </c>
      <c r="AW39" s="1493">
        <v>10540</v>
      </c>
      <c r="AX39" s="1494">
        <f t="shared" si="20"/>
        <v>98.4</v>
      </c>
      <c r="AY39" s="1493">
        <v>10614</v>
      </c>
      <c r="AZ39" s="1494">
        <f t="shared" si="21"/>
        <v>99.1</v>
      </c>
      <c r="BA39" s="1496">
        <v>12356</v>
      </c>
      <c r="BB39" s="1493">
        <v>10950</v>
      </c>
      <c r="BC39" s="1497">
        <f t="shared" si="22"/>
        <v>88.6</v>
      </c>
      <c r="BD39" s="1493">
        <v>10946</v>
      </c>
      <c r="BE39" s="1497">
        <f t="shared" si="23"/>
        <v>88.6</v>
      </c>
      <c r="BF39" s="1493">
        <v>11065</v>
      </c>
      <c r="BG39" s="1497">
        <f t="shared" si="24"/>
        <v>89.6</v>
      </c>
      <c r="BH39" s="1493">
        <v>4029</v>
      </c>
      <c r="BI39" s="1497">
        <f t="shared" si="25"/>
        <v>65.2</v>
      </c>
      <c r="BJ39" s="1493">
        <v>5073</v>
      </c>
      <c r="BK39" s="1493">
        <v>10274</v>
      </c>
      <c r="BL39" s="1498">
        <v>44520</v>
      </c>
      <c r="BM39" s="1493">
        <v>39890</v>
      </c>
      <c r="BN39" s="1499">
        <f t="shared" si="26"/>
        <v>89.600179694519326</v>
      </c>
      <c r="BO39" s="1493">
        <v>6518</v>
      </c>
      <c r="BP39" s="1497">
        <f t="shared" si="27"/>
        <v>63.5</v>
      </c>
      <c r="BQ39" s="1493">
        <v>9006</v>
      </c>
      <c r="BR39" s="1751">
        <f t="shared" si="28"/>
        <v>87.8</v>
      </c>
      <c r="BS39" s="1754">
        <v>6910</v>
      </c>
      <c r="BT39" s="1493">
        <v>2062</v>
      </c>
      <c r="BU39" s="1497">
        <f t="shared" si="29"/>
        <v>29.840810419681617</v>
      </c>
      <c r="BV39" s="1493">
        <v>645</v>
      </c>
      <c r="BW39" s="1739">
        <f t="shared" si="30"/>
        <v>9.3342981186685972</v>
      </c>
      <c r="BX39" s="1500">
        <v>29</v>
      </c>
      <c r="BY39" s="1501" t="s">
        <v>345</v>
      </c>
      <c r="BZ39" s="1501">
        <v>29</v>
      </c>
    </row>
    <row r="40" spans="1:78" s="1501" customFormat="1" ht="17.100000000000001" customHeight="1" x14ac:dyDescent="0.25">
      <c r="A40" s="1491" t="s">
        <v>278</v>
      </c>
      <c r="B40" s="1504" t="s">
        <v>502</v>
      </c>
      <c r="C40" s="1727">
        <v>853</v>
      </c>
      <c r="D40" s="1738">
        <v>733</v>
      </c>
      <c r="E40" s="1494">
        <f t="shared" si="0"/>
        <v>85.9</v>
      </c>
      <c r="F40" s="1493">
        <v>443</v>
      </c>
      <c r="G40" s="1494">
        <f t="shared" si="1"/>
        <v>51.9</v>
      </c>
      <c r="H40" s="1493">
        <v>288</v>
      </c>
      <c r="I40" s="1494">
        <f t="shared" si="2"/>
        <v>33.799999999999997</v>
      </c>
      <c r="J40" s="1493">
        <v>731</v>
      </c>
      <c r="K40" s="1494">
        <f t="shared" si="3"/>
        <v>85.7</v>
      </c>
      <c r="L40" s="1493">
        <v>761</v>
      </c>
      <c r="M40" s="1494">
        <f t="shared" si="4"/>
        <v>89.2</v>
      </c>
      <c r="N40" s="1493">
        <v>768</v>
      </c>
      <c r="O40" s="1494">
        <f t="shared" si="5"/>
        <v>90</v>
      </c>
      <c r="P40" s="1493">
        <v>762</v>
      </c>
      <c r="Q40" s="1494">
        <f t="shared" si="6"/>
        <v>89.3</v>
      </c>
      <c r="R40" s="1493">
        <v>768</v>
      </c>
      <c r="S40" s="1494">
        <f t="shared" si="7"/>
        <v>90</v>
      </c>
      <c r="T40" s="1493">
        <v>762</v>
      </c>
      <c r="U40" s="1494">
        <f t="shared" si="8"/>
        <v>89.3</v>
      </c>
      <c r="V40" s="1493">
        <v>750</v>
      </c>
      <c r="W40" s="1494">
        <f t="shared" si="9"/>
        <v>87.9</v>
      </c>
      <c r="X40" s="1493">
        <v>759</v>
      </c>
      <c r="Y40" s="1494">
        <f t="shared" si="10"/>
        <v>89</v>
      </c>
      <c r="Z40" s="1493">
        <v>528</v>
      </c>
      <c r="AA40" s="1494">
        <f t="shared" si="11"/>
        <v>61.9</v>
      </c>
      <c r="AB40" s="1493">
        <v>437</v>
      </c>
      <c r="AC40" s="1494">
        <f t="shared" si="12"/>
        <v>51.2</v>
      </c>
      <c r="AD40" s="1493">
        <v>765</v>
      </c>
      <c r="AE40" s="1494">
        <f t="shared" si="13"/>
        <v>89.7</v>
      </c>
      <c r="AF40" s="1493">
        <v>769</v>
      </c>
      <c r="AG40" s="1494">
        <f t="shared" si="14"/>
        <v>90.2</v>
      </c>
      <c r="AH40" s="1429">
        <v>871</v>
      </c>
      <c r="AI40" s="1493">
        <v>788</v>
      </c>
      <c r="AJ40" s="1495">
        <f t="shared" si="15"/>
        <v>90.5</v>
      </c>
      <c r="AK40" s="1493">
        <v>781</v>
      </c>
      <c r="AL40" s="1494">
        <f t="shared" si="16"/>
        <v>89.7</v>
      </c>
      <c r="AM40" s="1493">
        <v>788</v>
      </c>
      <c r="AN40" s="1494">
        <f t="shared" si="17"/>
        <v>90.5</v>
      </c>
      <c r="AO40" s="1493">
        <v>697</v>
      </c>
      <c r="AP40" s="1494">
        <f t="shared" si="18"/>
        <v>80</v>
      </c>
      <c r="AQ40" s="1493">
        <v>785</v>
      </c>
      <c r="AR40" s="1494">
        <f t="shared" si="19"/>
        <v>90.1</v>
      </c>
      <c r="AS40" s="1493">
        <v>1</v>
      </c>
      <c r="AT40" s="1494">
        <f t="shared" si="31"/>
        <v>0.11481056257175661</v>
      </c>
      <c r="AU40" s="1493">
        <v>2</v>
      </c>
      <c r="AV40" s="1493">
        <v>2</v>
      </c>
      <c r="AW40" s="1493">
        <v>717</v>
      </c>
      <c r="AX40" s="1494">
        <f t="shared" si="20"/>
        <v>82.3</v>
      </c>
      <c r="AY40" s="1493">
        <v>720</v>
      </c>
      <c r="AZ40" s="1494">
        <f t="shared" si="21"/>
        <v>82.7</v>
      </c>
      <c r="BA40" s="1496">
        <v>922</v>
      </c>
      <c r="BB40" s="1493">
        <v>786</v>
      </c>
      <c r="BC40" s="1497">
        <f t="shared" si="22"/>
        <v>85.2</v>
      </c>
      <c r="BD40" s="1493">
        <v>785</v>
      </c>
      <c r="BE40" s="1497">
        <f t="shared" si="23"/>
        <v>85.1</v>
      </c>
      <c r="BF40" s="1493">
        <v>785</v>
      </c>
      <c r="BG40" s="1497">
        <f t="shared" si="24"/>
        <v>85.1</v>
      </c>
      <c r="BH40" s="1493">
        <v>320</v>
      </c>
      <c r="BI40" s="1497">
        <f t="shared" si="25"/>
        <v>69.400000000000006</v>
      </c>
      <c r="BJ40" s="1493">
        <v>1454</v>
      </c>
      <c r="BK40" s="1493">
        <v>1430</v>
      </c>
      <c r="BL40" s="1498">
        <v>3063</v>
      </c>
      <c r="BM40" s="1493">
        <v>1184</v>
      </c>
      <c r="BN40" s="1499">
        <f t="shared" si="26"/>
        <v>38.6549134835129</v>
      </c>
      <c r="BO40" s="1493">
        <v>540</v>
      </c>
      <c r="BP40" s="1497">
        <f t="shared" si="27"/>
        <v>63.3</v>
      </c>
      <c r="BQ40" s="1493">
        <v>697</v>
      </c>
      <c r="BR40" s="1751">
        <f t="shared" si="28"/>
        <v>81.7</v>
      </c>
      <c r="BS40" s="1754">
        <v>440</v>
      </c>
      <c r="BT40" s="1493">
        <v>109</v>
      </c>
      <c r="BU40" s="1497">
        <f t="shared" si="29"/>
        <v>24.772727272727273</v>
      </c>
      <c r="BV40" s="1493">
        <v>27</v>
      </c>
      <c r="BW40" s="1739">
        <f t="shared" si="30"/>
        <v>6.1363636363636367</v>
      </c>
      <c r="BX40" s="1500">
        <v>30</v>
      </c>
      <c r="BY40" s="1501" t="s">
        <v>347</v>
      </c>
      <c r="BZ40" s="1501">
        <v>30</v>
      </c>
    </row>
    <row r="41" spans="1:78" s="1501" customFormat="1" ht="17.100000000000001" customHeight="1" x14ac:dyDescent="0.25">
      <c r="A41" s="1491" t="s">
        <v>277</v>
      </c>
      <c r="B41" s="1504" t="s">
        <v>35</v>
      </c>
      <c r="C41" s="1727">
        <v>30892</v>
      </c>
      <c r="D41" s="1738">
        <v>25909</v>
      </c>
      <c r="E41" s="1494">
        <f t="shared" si="0"/>
        <v>83.9</v>
      </c>
      <c r="F41" s="1493">
        <v>25807</v>
      </c>
      <c r="G41" s="1494">
        <f t="shared" si="1"/>
        <v>83.5</v>
      </c>
      <c r="H41" s="1493">
        <v>188</v>
      </c>
      <c r="I41" s="1494">
        <f t="shared" si="2"/>
        <v>0.6</v>
      </c>
      <c r="J41" s="1493">
        <v>25995</v>
      </c>
      <c r="K41" s="1494">
        <f t="shared" si="3"/>
        <v>84.1</v>
      </c>
      <c r="L41" s="1493">
        <v>27092</v>
      </c>
      <c r="M41" s="1494">
        <f t="shared" si="4"/>
        <v>87.7</v>
      </c>
      <c r="N41" s="1493">
        <v>26666</v>
      </c>
      <c r="O41" s="1494">
        <f t="shared" si="5"/>
        <v>86.3</v>
      </c>
      <c r="P41" s="1493">
        <v>27064</v>
      </c>
      <c r="Q41" s="1494">
        <f t="shared" si="6"/>
        <v>87.6</v>
      </c>
      <c r="R41" s="1493">
        <v>26643</v>
      </c>
      <c r="S41" s="1494">
        <f t="shared" si="7"/>
        <v>86.2</v>
      </c>
      <c r="T41" s="1493">
        <v>26698</v>
      </c>
      <c r="U41" s="1494">
        <f t="shared" si="8"/>
        <v>86.4</v>
      </c>
      <c r="V41" s="1493">
        <v>26553</v>
      </c>
      <c r="W41" s="1494">
        <f t="shared" si="9"/>
        <v>86</v>
      </c>
      <c r="X41" s="1493">
        <v>26380</v>
      </c>
      <c r="Y41" s="1494">
        <f t="shared" si="10"/>
        <v>85.4</v>
      </c>
      <c r="Z41" s="1493">
        <v>25628</v>
      </c>
      <c r="AA41" s="1494">
        <f t="shared" si="11"/>
        <v>83</v>
      </c>
      <c r="AB41" s="1493">
        <v>20431</v>
      </c>
      <c r="AC41" s="1494">
        <f t="shared" si="12"/>
        <v>66.099999999999994</v>
      </c>
      <c r="AD41" s="1493">
        <v>27201</v>
      </c>
      <c r="AE41" s="1494">
        <f t="shared" si="13"/>
        <v>88.1</v>
      </c>
      <c r="AF41" s="1493">
        <v>26730</v>
      </c>
      <c r="AG41" s="1494">
        <f t="shared" si="14"/>
        <v>86.5</v>
      </c>
      <c r="AH41" s="1429">
        <v>31319</v>
      </c>
      <c r="AI41" s="1493">
        <v>27967</v>
      </c>
      <c r="AJ41" s="1495">
        <f t="shared" si="15"/>
        <v>89.3</v>
      </c>
      <c r="AK41" s="1493">
        <v>28119</v>
      </c>
      <c r="AL41" s="1494">
        <f t="shared" si="16"/>
        <v>89.8</v>
      </c>
      <c r="AM41" s="1493">
        <v>28193</v>
      </c>
      <c r="AN41" s="1494">
        <f t="shared" si="17"/>
        <v>90</v>
      </c>
      <c r="AO41" s="1493">
        <v>27003</v>
      </c>
      <c r="AP41" s="1494">
        <f t="shared" si="18"/>
        <v>86.2</v>
      </c>
      <c r="AQ41" s="1493">
        <v>27823</v>
      </c>
      <c r="AR41" s="1494">
        <f t="shared" si="19"/>
        <v>88.8</v>
      </c>
      <c r="AS41" s="1493">
        <v>259</v>
      </c>
      <c r="AT41" s="1494">
        <f t="shared" si="31"/>
        <v>0.82697404131677255</v>
      </c>
      <c r="AU41" s="1493">
        <v>212</v>
      </c>
      <c r="AV41" s="1493">
        <v>330</v>
      </c>
      <c r="AW41" s="1493">
        <v>27024</v>
      </c>
      <c r="AX41" s="1494">
        <f t="shared" si="20"/>
        <v>86.3</v>
      </c>
      <c r="AY41" s="1493">
        <v>26946</v>
      </c>
      <c r="AZ41" s="1494">
        <f t="shared" si="21"/>
        <v>86</v>
      </c>
      <c r="BA41" s="1496">
        <v>32843</v>
      </c>
      <c r="BB41" s="1493">
        <v>27991</v>
      </c>
      <c r="BC41" s="1497">
        <f t="shared" si="22"/>
        <v>85.2</v>
      </c>
      <c r="BD41" s="1493">
        <v>27703</v>
      </c>
      <c r="BE41" s="1497">
        <f t="shared" si="23"/>
        <v>84.3</v>
      </c>
      <c r="BF41" s="1493">
        <v>27894</v>
      </c>
      <c r="BG41" s="1497">
        <f t="shared" si="24"/>
        <v>84.9</v>
      </c>
      <c r="BH41" s="1493">
        <v>8560</v>
      </c>
      <c r="BI41" s="1497">
        <f t="shared" si="25"/>
        <v>52.1</v>
      </c>
      <c r="BJ41" s="1493">
        <v>9736</v>
      </c>
      <c r="BK41" s="1493">
        <v>10466</v>
      </c>
      <c r="BL41" s="1498">
        <v>85600</v>
      </c>
      <c r="BM41" s="1493">
        <v>66532</v>
      </c>
      <c r="BN41" s="1499">
        <f t="shared" si="26"/>
        <v>77.724299065420567</v>
      </c>
      <c r="BO41" s="1493">
        <v>20387</v>
      </c>
      <c r="BP41" s="1497">
        <f t="shared" si="27"/>
        <v>66</v>
      </c>
      <c r="BQ41" s="1493">
        <v>22440</v>
      </c>
      <c r="BR41" s="1751">
        <f t="shared" si="28"/>
        <v>72.599999999999994</v>
      </c>
      <c r="BS41" s="1754">
        <v>15522</v>
      </c>
      <c r="BT41" s="1493">
        <v>4405</v>
      </c>
      <c r="BU41" s="1497">
        <f t="shared" si="29"/>
        <v>28.37907486148692</v>
      </c>
      <c r="BV41" s="1493">
        <v>1388</v>
      </c>
      <c r="BW41" s="1739">
        <f t="shared" si="30"/>
        <v>8.9421466305888408</v>
      </c>
      <c r="BX41" s="1500">
        <v>31</v>
      </c>
      <c r="BY41" s="1501" t="s">
        <v>345</v>
      </c>
      <c r="BZ41" s="1501">
        <v>31</v>
      </c>
    </row>
    <row r="42" spans="1:78" s="1501" customFormat="1" ht="17.100000000000001" customHeight="1" x14ac:dyDescent="0.25">
      <c r="A42" s="1491" t="s">
        <v>280</v>
      </c>
      <c r="B42" s="1504" t="s">
        <v>36</v>
      </c>
      <c r="C42" s="1727">
        <v>14028</v>
      </c>
      <c r="D42" s="1738">
        <v>14046</v>
      </c>
      <c r="E42" s="1494">
        <f t="shared" si="0"/>
        <v>100.1</v>
      </c>
      <c r="F42" s="1493">
        <v>12306</v>
      </c>
      <c r="G42" s="1494">
        <f t="shared" si="1"/>
        <v>87.7</v>
      </c>
      <c r="H42" s="1493">
        <v>1756</v>
      </c>
      <c r="I42" s="1494">
        <f t="shared" si="2"/>
        <v>12.5</v>
      </c>
      <c r="J42" s="1493">
        <v>14062</v>
      </c>
      <c r="K42" s="1494">
        <f t="shared" si="3"/>
        <v>100.2</v>
      </c>
      <c r="L42" s="1493">
        <v>14500</v>
      </c>
      <c r="M42" s="1494">
        <f t="shared" si="4"/>
        <v>103.4</v>
      </c>
      <c r="N42" s="1493">
        <v>14332</v>
      </c>
      <c r="O42" s="1494">
        <f t="shared" si="5"/>
        <v>102.2</v>
      </c>
      <c r="P42" s="1493">
        <v>14498</v>
      </c>
      <c r="Q42" s="1494">
        <f t="shared" si="6"/>
        <v>103.4</v>
      </c>
      <c r="R42" s="1493">
        <v>14522</v>
      </c>
      <c r="S42" s="1494">
        <f t="shared" si="7"/>
        <v>103.5</v>
      </c>
      <c r="T42" s="1493">
        <v>14327</v>
      </c>
      <c r="U42" s="1494">
        <f t="shared" si="8"/>
        <v>102.1</v>
      </c>
      <c r="V42" s="1493">
        <v>14195</v>
      </c>
      <c r="W42" s="1494">
        <f t="shared" si="9"/>
        <v>101.2</v>
      </c>
      <c r="X42" s="1493">
        <v>14256</v>
      </c>
      <c r="Y42" s="1494">
        <f t="shared" si="10"/>
        <v>101.6</v>
      </c>
      <c r="Z42" s="1493">
        <v>10605</v>
      </c>
      <c r="AA42" s="1494">
        <f t="shared" si="11"/>
        <v>75.599999999999994</v>
      </c>
      <c r="AB42" s="1493">
        <v>9839</v>
      </c>
      <c r="AC42" s="1494">
        <f t="shared" si="12"/>
        <v>70.099999999999994</v>
      </c>
      <c r="AD42" s="1493">
        <v>14524</v>
      </c>
      <c r="AE42" s="1494">
        <f t="shared" si="13"/>
        <v>103.5</v>
      </c>
      <c r="AF42" s="1493">
        <v>14544</v>
      </c>
      <c r="AG42" s="1494">
        <f t="shared" si="14"/>
        <v>103.7</v>
      </c>
      <c r="AH42" s="1429">
        <v>14828</v>
      </c>
      <c r="AI42" s="1493">
        <v>14824</v>
      </c>
      <c r="AJ42" s="1495">
        <f t="shared" si="15"/>
        <v>100</v>
      </c>
      <c r="AK42" s="1493">
        <v>14654</v>
      </c>
      <c r="AL42" s="1494">
        <f t="shared" si="16"/>
        <v>98.8</v>
      </c>
      <c r="AM42" s="1493">
        <v>14845</v>
      </c>
      <c r="AN42" s="1494">
        <f t="shared" si="17"/>
        <v>100.1</v>
      </c>
      <c r="AO42" s="1493">
        <v>14882</v>
      </c>
      <c r="AP42" s="1494">
        <f t="shared" si="18"/>
        <v>100.4</v>
      </c>
      <c r="AQ42" s="1493">
        <v>14818</v>
      </c>
      <c r="AR42" s="1494">
        <f t="shared" si="19"/>
        <v>99.9</v>
      </c>
      <c r="AS42" s="1493">
        <v>25</v>
      </c>
      <c r="AT42" s="1494">
        <f t="shared" si="31"/>
        <v>0.16859994604801729</v>
      </c>
      <c r="AU42" s="1493">
        <v>55</v>
      </c>
      <c r="AV42" s="1493">
        <v>74</v>
      </c>
      <c r="AW42" s="1493">
        <v>14789</v>
      </c>
      <c r="AX42" s="1494">
        <f t="shared" si="20"/>
        <v>99.7</v>
      </c>
      <c r="AY42" s="1493">
        <v>14794</v>
      </c>
      <c r="AZ42" s="1494">
        <f t="shared" si="21"/>
        <v>99.8</v>
      </c>
      <c r="BA42" s="1496">
        <v>16825</v>
      </c>
      <c r="BB42" s="1493">
        <v>14897</v>
      </c>
      <c r="BC42" s="1497">
        <f t="shared" si="22"/>
        <v>88.5</v>
      </c>
      <c r="BD42" s="1493">
        <v>14912</v>
      </c>
      <c r="BE42" s="1497">
        <f t="shared" si="23"/>
        <v>88.6</v>
      </c>
      <c r="BF42" s="1493">
        <v>14911</v>
      </c>
      <c r="BG42" s="1497">
        <f t="shared" si="24"/>
        <v>88.6</v>
      </c>
      <c r="BH42" s="1493">
        <v>6343</v>
      </c>
      <c r="BI42" s="1497">
        <f t="shared" si="25"/>
        <v>75.400000000000006</v>
      </c>
      <c r="BJ42" s="1493">
        <v>8428</v>
      </c>
      <c r="BK42" s="1493">
        <v>5882</v>
      </c>
      <c r="BL42" s="1498">
        <v>30602</v>
      </c>
      <c r="BM42" s="1493">
        <v>23103</v>
      </c>
      <c r="BN42" s="1499">
        <f t="shared" si="26"/>
        <v>75.495065681981572</v>
      </c>
      <c r="BO42" s="1493">
        <v>11633</v>
      </c>
      <c r="BP42" s="1497">
        <f t="shared" si="27"/>
        <v>82.9</v>
      </c>
      <c r="BQ42" s="1493">
        <v>12626</v>
      </c>
      <c r="BR42" s="1751">
        <f t="shared" si="28"/>
        <v>90</v>
      </c>
      <c r="BS42" s="1754">
        <v>7967</v>
      </c>
      <c r="BT42" s="1493">
        <v>2164</v>
      </c>
      <c r="BU42" s="1497">
        <f t="shared" si="29"/>
        <v>27.162043429145221</v>
      </c>
      <c r="BV42" s="1493">
        <v>773</v>
      </c>
      <c r="BW42" s="1739">
        <f t="shared" si="30"/>
        <v>9.7025229069913408</v>
      </c>
      <c r="BX42" s="1500">
        <v>32</v>
      </c>
      <c r="BY42" s="1501" t="s">
        <v>347</v>
      </c>
      <c r="BZ42" s="1501">
        <v>32</v>
      </c>
    </row>
    <row r="43" spans="1:78" s="1501" customFormat="1" ht="17.100000000000001" customHeight="1" x14ac:dyDescent="0.25">
      <c r="A43" s="1491" t="s">
        <v>281</v>
      </c>
      <c r="B43" s="1504" t="s">
        <v>37</v>
      </c>
      <c r="C43" s="1727">
        <v>17210</v>
      </c>
      <c r="D43" s="1738">
        <v>14521</v>
      </c>
      <c r="E43" s="1494">
        <f t="shared" si="0"/>
        <v>84.4</v>
      </c>
      <c r="F43" s="1493">
        <v>11321</v>
      </c>
      <c r="G43" s="1494">
        <f t="shared" si="1"/>
        <v>65.8</v>
      </c>
      <c r="H43" s="1493">
        <v>3027</v>
      </c>
      <c r="I43" s="1494">
        <f t="shared" si="2"/>
        <v>17.600000000000001</v>
      </c>
      <c r="J43" s="1493">
        <v>14348</v>
      </c>
      <c r="K43" s="1494">
        <f t="shared" si="3"/>
        <v>83.4</v>
      </c>
      <c r="L43" s="1493">
        <v>16107</v>
      </c>
      <c r="M43" s="1494">
        <f t="shared" si="4"/>
        <v>93.6</v>
      </c>
      <c r="N43" s="1493">
        <v>16283</v>
      </c>
      <c r="O43" s="1494">
        <f t="shared" si="5"/>
        <v>94.6</v>
      </c>
      <c r="P43" s="1493">
        <v>16126</v>
      </c>
      <c r="Q43" s="1494">
        <f t="shared" si="6"/>
        <v>93.7</v>
      </c>
      <c r="R43" s="1493">
        <v>16073</v>
      </c>
      <c r="S43" s="1494">
        <f t="shared" si="7"/>
        <v>93.4</v>
      </c>
      <c r="T43" s="1493">
        <v>16267</v>
      </c>
      <c r="U43" s="1494">
        <f t="shared" si="8"/>
        <v>94.5</v>
      </c>
      <c r="V43" s="1493">
        <v>15964</v>
      </c>
      <c r="W43" s="1494">
        <f t="shared" si="9"/>
        <v>92.8</v>
      </c>
      <c r="X43" s="1493">
        <v>16041</v>
      </c>
      <c r="Y43" s="1494">
        <f t="shared" si="10"/>
        <v>93.2</v>
      </c>
      <c r="Z43" s="1493">
        <v>15204</v>
      </c>
      <c r="AA43" s="1494">
        <f t="shared" si="11"/>
        <v>88.3</v>
      </c>
      <c r="AB43" s="1493">
        <v>11217</v>
      </c>
      <c r="AC43" s="1494">
        <f t="shared" si="12"/>
        <v>65.2</v>
      </c>
      <c r="AD43" s="1493">
        <v>16177</v>
      </c>
      <c r="AE43" s="1494">
        <f t="shared" si="13"/>
        <v>94</v>
      </c>
      <c r="AF43" s="1493">
        <v>16184</v>
      </c>
      <c r="AG43" s="1494">
        <f t="shared" si="14"/>
        <v>94</v>
      </c>
      <c r="AH43" s="1429">
        <v>17543</v>
      </c>
      <c r="AI43" s="1493">
        <v>17072</v>
      </c>
      <c r="AJ43" s="1495">
        <f t="shared" si="15"/>
        <v>97.3</v>
      </c>
      <c r="AK43" s="1493">
        <v>17010</v>
      </c>
      <c r="AL43" s="1494">
        <f t="shared" si="16"/>
        <v>97</v>
      </c>
      <c r="AM43" s="1493">
        <v>17116</v>
      </c>
      <c r="AN43" s="1494">
        <f t="shared" si="17"/>
        <v>97.6</v>
      </c>
      <c r="AO43" s="1493">
        <v>16729</v>
      </c>
      <c r="AP43" s="1494">
        <f t="shared" si="18"/>
        <v>95.4</v>
      </c>
      <c r="AQ43" s="1493">
        <v>17054</v>
      </c>
      <c r="AR43" s="1494">
        <f t="shared" si="19"/>
        <v>97.2</v>
      </c>
      <c r="AS43" s="1493">
        <v>70</v>
      </c>
      <c r="AT43" s="1494">
        <f t="shared" si="31"/>
        <v>0.39901955195804595</v>
      </c>
      <c r="AU43" s="1493">
        <v>59</v>
      </c>
      <c r="AV43" s="1493">
        <v>141</v>
      </c>
      <c r="AW43" s="1493">
        <v>16737</v>
      </c>
      <c r="AX43" s="1494">
        <f t="shared" si="20"/>
        <v>95.4</v>
      </c>
      <c r="AY43" s="1493">
        <v>16880</v>
      </c>
      <c r="AZ43" s="1494">
        <f t="shared" si="21"/>
        <v>96.2</v>
      </c>
      <c r="BA43" s="1496">
        <v>19419</v>
      </c>
      <c r="BB43" s="1493">
        <v>17476</v>
      </c>
      <c r="BC43" s="1497">
        <f t="shared" si="22"/>
        <v>90</v>
      </c>
      <c r="BD43" s="1493">
        <v>17459</v>
      </c>
      <c r="BE43" s="1497">
        <f t="shared" si="23"/>
        <v>89.9</v>
      </c>
      <c r="BF43" s="1493">
        <v>17524</v>
      </c>
      <c r="BG43" s="1497">
        <f t="shared" si="24"/>
        <v>90.2</v>
      </c>
      <c r="BH43" s="1493">
        <v>6490</v>
      </c>
      <c r="BI43" s="1497">
        <f t="shared" si="25"/>
        <v>66.8</v>
      </c>
      <c r="BJ43" s="1493">
        <v>14069</v>
      </c>
      <c r="BK43" s="1493">
        <v>9932</v>
      </c>
      <c r="BL43" s="1498">
        <v>62277</v>
      </c>
      <c r="BM43" s="1493">
        <v>39520</v>
      </c>
      <c r="BN43" s="1499">
        <f t="shared" si="26"/>
        <v>63.458419641280081</v>
      </c>
      <c r="BO43" s="1493">
        <v>11274</v>
      </c>
      <c r="BP43" s="1497">
        <f t="shared" si="27"/>
        <v>65.5</v>
      </c>
      <c r="BQ43" s="1493">
        <v>13157</v>
      </c>
      <c r="BR43" s="1751">
        <f t="shared" si="28"/>
        <v>76.400000000000006</v>
      </c>
      <c r="BS43" s="1754">
        <v>11203</v>
      </c>
      <c r="BT43" s="1493">
        <v>3496</v>
      </c>
      <c r="BU43" s="1497">
        <f t="shared" si="29"/>
        <v>31.205926983843611</v>
      </c>
      <c r="BV43" s="1493">
        <v>1001</v>
      </c>
      <c r="BW43" s="1739">
        <f t="shared" si="30"/>
        <v>8.9351066678568234</v>
      </c>
      <c r="BX43" s="1500">
        <v>33</v>
      </c>
      <c r="BY43" s="1501" t="s">
        <v>345</v>
      </c>
      <c r="BZ43" s="1501">
        <v>33</v>
      </c>
    </row>
    <row r="44" spans="1:78" s="1501" customFormat="1" ht="17.100000000000001" customHeight="1" x14ac:dyDescent="0.25">
      <c r="A44" s="1491" t="s">
        <v>282</v>
      </c>
      <c r="B44" s="1504" t="s">
        <v>485</v>
      </c>
      <c r="C44" s="1727">
        <v>51369</v>
      </c>
      <c r="D44" s="1738">
        <v>44911</v>
      </c>
      <c r="E44" s="1494">
        <f t="shared" si="0"/>
        <v>87.4</v>
      </c>
      <c r="F44" s="1493">
        <v>44258</v>
      </c>
      <c r="G44" s="1494">
        <f t="shared" si="1"/>
        <v>86.2</v>
      </c>
      <c r="H44" s="1493">
        <v>647</v>
      </c>
      <c r="I44" s="1494">
        <f t="shared" si="2"/>
        <v>1.3</v>
      </c>
      <c r="J44" s="1493">
        <v>44905</v>
      </c>
      <c r="K44" s="1494">
        <f t="shared" si="3"/>
        <v>87.4</v>
      </c>
      <c r="L44" s="1493">
        <v>51437</v>
      </c>
      <c r="M44" s="1494">
        <f t="shared" si="4"/>
        <v>100.1</v>
      </c>
      <c r="N44" s="1493">
        <v>51145</v>
      </c>
      <c r="O44" s="1494">
        <f t="shared" si="5"/>
        <v>99.6</v>
      </c>
      <c r="P44" s="1493">
        <v>51244</v>
      </c>
      <c r="Q44" s="1494">
        <f t="shared" si="6"/>
        <v>99.8</v>
      </c>
      <c r="R44" s="1493">
        <v>51168</v>
      </c>
      <c r="S44" s="1494">
        <f t="shared" si="7"/>
        <v>99.6</v>
      </c>
      <c r="T44" s="1493">
        <v>51262</v>
      </c>
      <c r="U44" s="1494">
        <f t="shared" si="8"/>
        <v>99.8</v>
      </c>
      <c r="V44" s="1493">
        <v>50771</v>
      </c>
      <c r="W44" s="1494">
        <f t="shared" si="9"/>
        <v>98.8</v>
      </c>
      <c r="X44" s="1493">
        <v>50820</v>
      </c>
      <c r="Y44" s="1494">
        <f t="shared" si="10"/>
        <v>98.9</v>
      </c>
      <c r="Z44" s="1493">
        <v>44276</v>
      </c>
      <c r="AA44" s="1494">
        <f t="shared" si="11"/>
        <v>86.2</v>
      </c>
      <c r="AB44" s="1493">
        <v>36326</v>
      </c>
      <c r="AC44" s="1494">
        <f t="shared" si="12"/>
        <v>70.7</v>
      </c>
      <c r="AD44" s="1493">
        <v>51228</v>
      </c>
      <c r="AE44" s="1494">
        <f t="shared" si="13"/>
        <v>99.7</v>
      </c>
      <c r="AF44" s="1493">
        <v>51039</v>
      </c>
      <c r="AG44" s="1494">
        <f t="shared" si="14"/>
        <v>99.4</v>
      </c>
      <c r="AH44" s="1429">
        <v>52931</v>
      </c>
      <c r="AI44" s="1493">
        <v>52454</v>
      </c>
      <c r="AJ44" s="1495">
        <f t="shared" si="15"/>
        <v>99.1</v>
      </c>
      <c r="AK44" s="1493">
        <v>52255</v>
      </c>
      <c r="AL44" s="1494">
        <f t="shared" si="16"/>
        <v>98.7</v>
      </c>
      <c r="AM44" s="1493">
        <v>52209</v>
      </c>
      <c r="AN44" s="1494">
        <f t="shared" si="17"/>
        <v>98.6</v>
      </c>
      <c r="AO44" s="1493">
        <v>50974</v>
      </c>
      <c r="AP44" s="1494">
        <f t="shared" si="18"/>
        <v>96.3</v>
      </c>
      <c r="AQ44" s="1493">
        <v>51927</v>
      </c>
      <c r="AR44" s="1494">
        <f t="shared" si="19"/>
        <v>98.1</v>
      </c>
      <c r="AS44" s="1493">
        <v>359</v>
      </c>
      <c r="AT44" s="1494">
        <f t="shared" si="31"/>
        <v>0.67824148419640662</v>
      </c>
      <c r="AU44" s="1493">
        <v>194</v>
      </c>
      <c r="AV44" s="1493">
        <v>1057</v>
      </c>
      <c r="AW44" s="1493">
        <v>51210</v>
      </c>
      <c r="AX44" s="1494">
        <f t="shared" si="20"/>
        <v>96.7</v>
      </c>
      <c r="AY44" s="1493">
        <v>51031</v>
      </c>
      <c r="AZ44" s="1494">
        <f t="shared" si="21"/>
        <v>96.4</v>
      </c>
      <c r="BA44" s="1496">
        <v>55169</v>
      </c>
      <c r="BB44" s="1493">
        <v>53306</v>
      </c>
      <c r="BC44" s="1497">
        <f t="shared" si="22"/>
        <v>96.6</v>
      </c>
      <c r="BD44" s="1493">
        <v>53660</v>
      </c>
      <c r="BE44" s="1497">
        <f t="shared" si="23"/>
        <v>97.3</v>
      </c>
      <c r="BF44" s="1493">
        <v>52659</v>
      </c>
      <c r="BG44" s="1497">
        <f t="shared" si="24"/>
        <v>95.5</v>
      </c>
      <c r="BH44" s="1493">
        <v>23167</v>
      </c>
      <c r="BI44" s="1497">
        <f t="shared" si="25"/>
        <v>84</v>
      </c>
      <c r="BJ44" s="1493">
        <v>58213</v>
      </c>
      <c r="BK44" s="1493">
        <v>47544</v>
      </c>
      <c r="BL44" s="1498">
        <v>184481</v>
      </c>
      <c r="BM44" s="1493">
        <v>110206</v>
      </c>
      <c r="BN44" s="1499">
        <f t="shared" si="26"/>
        <v>59.738401244572614</v>
      </c>
      <c r="BO44" s="1493">
        <v>36045</v>
      </c>
      <c r="BP44" s="1497">
        <f t="shared" si="27"/>
        <v>70.2</v>
      </c>
      <c r="BQ44" s="1493">
        <v>38612</v>
      </c>
      <c r="BR44" s="1751">
        <f t="shared" si="28"/>
        <v>75.2</v>
      </c>
      <c r="BS44" s="1754">
        <v>27948</v>
      </c>
      <c r="BT44" s="1493">
        <v>15102</v>
      </c>
      <c r="BU44" s="1497">
        <f t="shared" si="29"/>
        <v>54.036066981537147</v>
      </c>
      <c r="BV44" s="1493">
        <v>5978</v>
      </c>
      <c r="BW44" s="1739">
        <f t="shared" si="30"/>
        <v>21.389723772720767</v>
      </c>
      <c r="BX44" s="1500">
        <v>34</v>
      </c>
      <c r="BY44" s="1501" t="s">
        <v>352</v>
      </c>
      <c r="BZ44" s="1501">
        <v>34</v>
      </c>
    </row>
    <row r="45" spans="1:78" s="1501" customFormat="1" ht="17.100000000000001" customHeight="1" x14ac:dyDescent="0.25">
      <c r="A45" s="1491" t="s">
        <v>332</v>
      </c>
      <c r="B45" s="1504" t="s">
        <v>331</v>
      </c>
      <c r="C45" s="1727">
        <v>4932</v>
      </c>
      <c r="D45" s="1738">
        <v>4192</v>
      </c>
      <c r="E45" s="1494">
        <f t="shared" si="0"/>
        <v>85</v>
      </c>
      <c r="F45" s="1493">
        <v>3690</v>
      </c>
      <c r="G45" s="1494">
        <f t="shared" si="1"/>
        <v>74.8</v>
      </c>
      <c r="H45" s="1493">
        <v>471</v>
      </c>
      <c r="I45" s="1494">
        <f t="shared" si="2"/>
        <v>9.5</v>
      </c>
      <c r="J45" s="1493">
        <v>4161</v>
      </c>
      <c r="K45" s="1494">
        <f t="shared" si="3"/>
        <v>84.4</v>
      </c>
      <c r="L45" s="1493">
        <v>4337</v>
      </c>
      <c r="M45" s="1494">
        <f t="shared" si="4"/>
        <v>87.9</v>
      </c>
      <c r="N45" s="1493">
        <v>3815</v>
      </c>
      <c r="O45" s="1494">
        <f t="shared" si="5"/>
        <v>77.400000000000006</v>
      </c>
      <c r="P45" s="1493">
        <v>4342</v>
      </c>
      <c r="Q45" s="1494">
        <f t="shared" si="6"/>
        <v>88</v>
      </c>
      <c r="R45" s="1493">
        <v>4114</v>
      </c>
      <c r="S45" s="1494">
        <f t="shared" si="7"/>
        <v>83.4</v>
      </c>
      <c r="T45" s="1493">
        <v>3820</v>
      </c>
      <c r="U45" s="1494">
        <f t="shared" si="8"/>
        <v>77.5</v>
      </c>
      <c r="V45" s="1493">
        <v>3906</v>
      </c>
      <c r="W45" s="1494">
        <f t="shared" si="9"/>
        <v>79.2</v>
      </c>
      <c r="X45" s="1493">
        <v>3781</v>
      </c>
      <c r="Y45" s="1494">
        <f t="shared" si="10"/>
        <v>76.7</v>
      </c>
      <c r="Z45" s="1493">
        <v>3394</v>
      </c>
      <c r="AA45" s="1494">
        <f t="shared" si="11"/>
        <v>68.8</v>
      </c>
      <c r="AB45" s="1493">
        <v>2400</v>
      </c>
      <c r="AC45" s="1494">
        <f t="shared" si="12"/>
        <v>48.7</v>
      </c>
      <c r="AD45" s="1493">
        <v>4314</v>
      </c>
      <c r="AE45" s="1494">
        <f t="shared" si="13"/>
        <v>87.5</v>
      </c>
      <c r="AF45" s="1493">
        <v>4044</v>
      </c>
      <c r="AG45" s="1494">
        <f t="shared" si="14"/>
        <v>82</v>
      </c>
      <c r="AH45" s="1429">
        <v>4932</v>
      </c>
      <c r="AI45" s="1493">
        <v>4202</v>
      </c>
      <c r="AJ45" s="1495">
        <f t="shared" si="15"/>
        <v>85.2</v>
      </c>
      <c r="AK45" s="1493">
        <v>4013</v>
      </c>
      <c r="AL45" s="1494">
        <f t="shared" si="16"/>
        <v>81.400000000000006</v>
      </c>
      <c r="AM45" s="1493">
        <v>4223</v>
      </c>
      <c r="AN45" s="1494">
        <f t="shared" si="17"/>
        <v>85.6</v>
      </c>
      <c r="AO45" s="1493">
        <v>3097</v>
      </c>
      <c r="AP45" s="1494">
        <f t="shared" si="18"/>
        <v>62.8</v>
      </c>
      <c r="AQ45" s="1493">
        <v>4035</v>
      </c>
      <c r="AR45" s="1494">
        <f t="shared" si="19"/>
        <v>81.8</v>
      </c>
      <c r="AS45" s="1493">
        <v>127</v>
      </c>
      <c r="AT45" s="1494">
        <f t="shared" si="31"/>
        <v>2.5750202757502025</v>
      </c>
      <c r="AU45" s="1493">
        <v>178</v>
      </c>
      <c r="AV45" s="1493">
        <v>222</v>
      </c>
      <c r="AW45" s="1493">
        <v>3208</v>
      </c>
      <c r="AX45" s="1494">
        <f t="shared" si="20"/>
        <v>65</v>
      </c>
      <c r="AY45" s="1493">
        <v>3192</v>
      </c>
      <c r="AZ45" s="1494">
        <f t="shared" si="21"/>
        <v>64.7</v>
      </c>
      <c r="BA45" s="1496">
        <v>5799</v>
      </c>
      <c r="BB45" s="1493">
        <v>3863</v>
      </c>
      <c r="BC45" s="1497">
        <f t="shared" si="22"/>
        <v>66.599999999999994</v>
      </c>
      <c r="BD45" s="1493">
        <v>3811</v>
      </c>
      <c r="BE45" s="1497">
        <f t="shared" si="23"/>
        <v>65.7</v>
      </c>
      <c r="BF45" s="1493">
        <v>3789</v>
      </c>
      <c r="BG45" s="1497">
        <f t="shared" si="24"/>
        <v>65.3</v>
      </c>
      <c r="BH45" s="1493">
        <v>973</v>
      </c>
      <c r="BI45" s="1497">
        <f t="shared" si="25"/>
        <v>33.6</v>
      </c>
      <c r="BJ45" s="1493">
        <v>6831</v>
      </c>
      <c r="BK45" s="1493">
        <v>4144</v>
      </c>
      <c r="BL45" s="1498">
        <v>12123</v>
      </c>
      <c r="BM45" s="1493">
        <v>3694</v>
      </c>
      <c r="BN45" s="1499">
        <f t="shared" si="26"/>
        <v>30.471005526684813</v>
      </c>
      <c r="BO45" s="1493">
        <v>3285</v>
      </c>
      <c r="BP45" s="1497">
        <f t="shared" si="27"/>
        <v>66.599999999999994</v>
      </c>
      <c r="BQ45" s="1493">
        <v>3428</v>
      </c>
      <c r="BR45" s="1751">
        <f t="shared" si="28"/>
        <v>69.5</v>
      </c>
      <c r="BS45" s="1754">
        <v>3373</v>
      </c>
      <c r="BT45" s="1493">
        <v>778</v>
      </c>
      <c r="BU45" s="1497">
        <f t="shared" si="29"/>
        <v>23.065520308330864</v>
      </c>
      <c r="BV45" s="1493">
        <v>98</v>
      </c>
      <c r="BW45" s="1739">
        <f t="shared" si="30"/>
        <v>2.9054254372961759</v>
      </c>
      <c r="BX45" s="1500">
        <v>35</v>
      </c>
      <c r="BY45" s="1501" t="s">
        <v>352</v>
      </c>
      <c r="BZ45" s="1501">
        <v>35</v>
      </c>
    </row>
    <row r="46" spans="1:78" s="1501" customFormat="1" ht="17.100000000000001" customHeight="1" x14ac:dyDescent="0.25">
      <c r="A46" s="1491" t="s">
        <v>283</v>
      </c>
      <c r="B46" s="1504" t="s">
        <v>39</v>
      </c>
      <c r="C46" s="1727">
        <v>789</v>
      </c>
      <c r="D46" s="1738">
        <v>760</v>
      </c>
      <c r="E46" s="1494">
        <f t="shared" si="0"/>
        <v>96.3</v>
      </c>
      <c r="F46" s="1493">
        <v>292</v>
      </c>
      <c r="G46" s="1494">
        <f t="shared" si="1"/>
        <v>37</v>
      </c>
      <c r="H46" s="1493">
        <v>307</v>
      </c>
      <c r="I46" s="1494">
        <f t="shared" si="2"/>
        <v>38.9</v>
      </c>
      <c r="J46" s="1493">
        <v>599</v>
      </c>
      <c r="K46" s="1494">
        <f t="shared" si="3"/>
        <v>75.900000000000006</v>
      </c>
      <c r="L46" s="1493">
        <v>695</v>
      </c>
      <c r="M46" s="1494">
        <f t="shared" si="4"/>
        <v>88.1</v>
      </c>
      <c r="N46" s="1493">
        <v>587</v>
      </c>
      <c r="O46" s="1494">
        <f t="shared" si="5"/>
        <v>74.400000000000006</v>
      </c>
      <c r="P46" s="1493">
        <v>683</v>
      </c>
      <c r="Q46" s="1494">
        <f t="shared" si="6"/>
        <v>86.6</v>
      </c>
      <c r="R46" s="1493">
        <v>662</v>
      </c>
      <c r="S46" s="1494">
        <f t="shared" si="7"/>
        <v>83.9</v>
      </c>
      <c r="T46" s="1493">
        <v>605</v>
      </c>
      <c r="U46" s="1494">
        <f t="shared" si="8"/>
        <v>76.7</v>
      </c>
      <c r="V46" s="1493">
        <v>644</v>
      </c>
      <c r="W46" s="1494">
        <f t="shared" si="9"/>
        <v>81.599999999999994</v>
      </c>
      <c r="X46" s="1493">
        <v>597</v>
      </c>
      <c r="Y46" s="1494">
        <f t="shared" si="10"/>
        <v>75.7</v>
      </c>
      <c r="Z46" s="1493">
        <v>550</v>
      </c>
      <c r="AA46" s="1494">
        <f t="shared" si="11"/>
        <v>69.7</v>
      </c>
      <c r="AB46" s="1493">
        <v>373</v>
      </c>
      <c r="AC46" s="1494">
        <f t="shared" si="12"/>
        <v>47.3</v>
      </c>
      <c r="AD46" s="1493">
        <v>664</v>
      </c>
      <c r="AE46" s="1494">
        <f t="shared" si="13"/>
        <v>84.2</v>
      </c>
      <c r="AF46" s="1493">
        <v>641</v>
      </c>
      <c r="AG46" s="1494">
        <f t="shared" si="14"/>
        <v>81.2</v>
      </c>
      <c r="AH46" s="1429">
        <v>817</v>
      </c>
      <c r="AI46" s="1493">
        <v>735</v>
      </c>
      <c r="AJ46" s="1495">
        <f t="shared" si="15"/>
        <v>90</v>
      </c>
      <c r="AK46" s="1493">
        <v>741</v>
      </c>
      <c r="AL46" s="1494">
        <f t="shared" si="16"/>
        <v>90.7</v>
      </c>
      <c r="AM46" s="1493">
        <v>743</v>
      </c>
      <c r="AN46" s="1494">
        <f t="shared" si="17"/>
        <v>90.9</v>
      </c>
      <c r="AO46" s="1493">
        <v>745</v>
      </c>
      <c r="AP46" s="1494">
        <f t="shared" si="18"/>
        <v>91.2</v>
      </c>
      <c r="AQ46" s="1493">
        <v>740</v>
      </c>
      <c r="AR46" s="1494">
        <f t="shared" si="19"/>
        <v>90.6</v>
      </c>
      <c r="AS46" s="1493">
        <v>56</v>
      </c>
      <c r="AT46" s="1494">
        <f t="shared" si="31"/>
        <v>6.8543451652386773</v>
      </c>
      <c r="AU46" s="1493">
        <v>18</v>
      </c>
      <c r="AV46" s="1493">
        <v>36</v>
      </c>
      <c r="AW46" s="1493">
        <v>526</v>
      </c>
      <c r="AX46" s="1494">
        <f t="shared" si="20"/>
        <v>64.400000000000006</v>
      </c>
      <c r="AY46" s="1493">
        <v>523</v>
      </c>
      <c r="AZ46" s="1494">
        <f t="shared" si="21"/>
        <v>64</v>
      </c>
      <c r="BA46" s="1496">
        <v>785</v>
      </c>
      <c r="BB46" s="1493">
        <v>603</v>
      </c>
      <c r="BC46" s="1497">
        <f t="shared" si="22"/>
        <v>76.8</v>
      </c>
      <c r="BD46" s="1493">
        <v>604</v>
      </c>
      <c r="BE46" s="1497">
        <f t="shared" si="23"/>
        <v>76.900000000000006</v>
      </c>
      <c r="BF46" s="1493">
        <v>595</v>
      </c>
      <c r="BG46" s="1497">
        <f t="shared" si="24"/>
        <v>75.8</v>
      </c>
      <c r="BH46" s="1493">
        <v>192</v>
      </c>
      <c r="BI46" s="1497">
        <f t="shared" si="25"/>
        <v>48.9</v>
      </c>
      <c r="BJ46" s="1493">
        <v>1756</v>
      </c>
      <c r="BK46" s="1493">
        <v>684</v>
      </c>
      <c r="BL46" s="1498">
        <v>1138</v>
      </c>
      <c r="BM46" s="1493">
        <v>861</v>
      </c>
      <c r="BN46" s="1499">
        <f t="shared" si="26"/>
        <v>75.659050966608092</v>
      </c>
      <c r="BO46" s="1493">
        <v>415</v>
      </c>
      <c r="BP46" s="1497">
        <f t="shared" si="27"/>
        <v>52.6</v>
      </c>
      <c r="BQ46" s="1493">
        <v>670</v>
      </c>
      <c r="BR46" s="1751">
        <f t="shared" si="28"/>
        <v>84.9</v>
      </c>
      <c r="BS46" s="1754">
        <v>361</v>
      </c>
      <c r="BT46" s="1493">
        <v>159</v>
      </c>
      <c r="BU46" s="1497">
        <f t="shared" si="29"/>
        <v>44.044321329639892</v>
      </c>
      <c r="BV46" s="1493">
        <v>52</v>
      </c>
      <c r="BW46" s="1739">
        <f t="shared" si="30"/>
        <v>14.40443213296399</v>
      </c>
      <c r="BX46" s="1500">
        <v>36</v>
      </c>
      <c r="BY46" s="1501" t="s">
        <v>344</v>
      </c>
      <c r="BZ46" s="1501">
        <v>36</v>
      </c>
    </row>
    <row r="47" spans="1:78" s="1501" customFormat="1" ht="17.100000000000001" customHeight="1" thickBot="1" x14ac:dyDescent="0.3">
      <c r="A47" s="1491" t="s">
        <v>284</v>
      </c>
      <c r="B47" s="1504" t="s">
        <v>40</v>
      </c>
      <c r="C47" s="1727">
        <v>1773</v>
      </c>
      <c r="D47" s="1740">
        <v>1527</v>
      </c>
      <c r="E47" s="1741">
        <f t="shared" si="0"/>
        <v>86.1</v>
      </c>
      <c r="F47" s="1742">
        <v>779</v>
      </c>
      <c r="G47" s="1741">
        <f t="shared" si="1"/>
        <v>43.9</v>
      </c>
      <c r="H47" s="1742">
        <v>179</v>
      </c>
      <c r="I47" s="1741">
        <f t="shared" si="2"/>
        <v>10.1</v>
      </c>
      <c r="J47" s="1742">
        <v>958</v>
      </c>
      <c r="K47" s="1741">
        <f t="shared" si="3"/>
        <v>54</v>
      </c>
      <c r="L47" s="1742">
        <v>1986</v>
      </c>
      <c r="M47" s="1741">
        <f t="shared" si="4"/>
        <v>112</v>
      </c>
      <c r="N47" s="1742">
        <v>1208</v>
      </c>
      <c r="O47" s="1741">
        <f t="shared" si="5"/>
        <v>68.099999999999994</v>
      </c>
      <c r="P47" s="1742">
        <v>1958</v>
      </c>
      <c r="Q47" s="1741">
        <f t="shared" si="6"/>
        <v>110.4</v>
      </c>
      <c r="R47" s="1742">
        <v>1664</v>
      </c>
      <c r="S47" s="1741">
        <f t="shared" si="7"/>
        <v>93.9</v>
      </c>
      <c r="T47" s="1742">
        <v>1223</v>
      </c>
      <c r="U47" s="1741">
        <f t="shared" si="8"/>
        <v>69</v>
      </c>
      <c r="V47" s="1742">
        <v>1354</v>
      </c>
      <c r="W47" s="1741">
        <f t="shared" si="9"/>
        <v>76.400000000000006</v>
      </c>
      <c r="X47" s="1742">
        <v>1248</v>
      </c>
      <c r="Y47" s="1741">
        <f t="shared" si="10"/>
        <v>70.400000000000006</v>
      </c>
      <c r="Z47" s="1742">
        <v>1097</v>
      </c>
      <c r="AA47" s="1741">
        <f t="shared" si="11"/>
        <v>61.9</v>
      </c>
      <c r="AB47" s="1742">
        <v>682</v>
      </c>
      <c r="AC47" s="1741">
        <f t="shared" si="12"/>
        <v>38.5</v>
      </c>
      <c r="AD47" s="1742">
        <v>2025</v>
      </c>
      <c r="AE47" s="1741">
        <f t="shared" si="13"/>
        <v>114.2</v>
      </c>
      <c r="AF47" s="1742">
        <v>1718</v>
      </c>
      <c r="AG47" s="1741">
        <f t="shared" si="14"/>
        <v>96.9</v>
      </c>
      <c r="AH47" s="1743">
        <v>1827</v>
      </c>
      <c r="AI47" s="1742">
        <v>1701</v>
      </c>
      <c r="AJ47" s="1744">
        <f t="shared" si="15"/>
        <v>93.1</v>
      </c>
      <c r="AK47" s="1742">
        <v>1593</v>
      </c>
      <c r="AL47" s="1741">
        <f t="shared" si="16"/>
        <v>87.2</v>
      </c>
      <c r="AM47" s="1742">
        <v>1541</v>
      </c>
      <c r="AN47" s="1741">
        <f t="shared" si="17"/>
        <v>84.3</v>
      </c>
      <c r="AO47" s="1742">
        <v>1741</v>
      </c>
      <c r="AP47" s="1741">
        <f t="shared" si="18"/>
        <v>95.3</v>
      </c>
      <c r="AQ47" s="1742">
        <v>1360</v>
      </c>
      <c r="AR47" s="1741">
        <f t="shared" si="19"/>
        <v>74.400000000000006</v>
      </c>
      <c r="AS47" s="1742">
        <v>148</v>
      </c>
      <c r="AT47" s="1741">
        <f t="shared" si="31"/>
        <v>8.1007115489874106</v>
      </c>
      <c r="AU47" s="1742">
        <v>248</v>
      </c>
      <c r="AV47" s="1742">
        <v>172</v>
      </c>
      <c r="AW47" s="1742">
        <v>1096</v>
      </c>
      <c r="AX47" s="1741">
        <f t="shared" si="20"/>
        <v>60</v>
      </c>
      <c r="AY47" s="1742">
        <v>1087</v>
      </c>
      <c r="AZ47" s="1741">
        <f t="shared" si="21"/>
        <v>59.5</v>
      </c>
      <c r="BA47" s="1745">
        <v>1876</v>
      </c>
      <c r="BB47" s="1742">
        <v>1283</v>
      </c>
      <c r="BC47" s="1746">
        <f t="shared" si="22"/>
        <v>68.400000000000006</v>
      </c>
      <c r="BD47" s="1742">
        <v>1286</v>
      </c>
      <c r="BE47" s="1746">
        <f t="shared" si="23"/>
        <v>68.599999999999994</v>
      </c>
      <c r="BF47" s="1742">
        <v>1310</v>
      </c>
      <c r="BG47" s="1746">
        <f t="shared" si="24"/>
        <v>69.8</v>
      </c>
      <c r="BH47" s="1742">
        <v>346</v>
      </c>
      <c r="BI47" s="1746">
        <f t="shared" si="25"/>
        <v>36.9</v>
      </c>
      <c r="BJ47" s="1742">
        <v>568</v>
      </c>
      <c r="BK47" s="1742">
        <v>319</v>
      </c>
      <c r="BL47" s="1747">
        <v>1739</v>
      </c>
      <c r="BM47" s="1742">
        <v>1254</v>
      </c>
      <c r="BN47" s="1748">
        <f t="shared" si="26"/>
        <v>72.110408280621044</v>
      </c>
      <c r="BO47" s="1742">
        <v>682</v>
      </c>
      <c r="BP47" s="1746">
        <f t="shared" si="27"/>
        <v>38.5</v>
      </c>
      <c r="BQ47" s="1742">
        <v>974</v>
      </c>
      <c r="BR47" s="1752">
        <f t="shared" si="28"/>
        <v>54.9</v>
      </c>
      <c r="BS47" s="1755">
        <v>711</v>
      </c>
      <c r="BT47" s="1742">
        <v>239</v>
      </c>
      <c r="BU47" s="1746">
        <f t="shared" si="29"/>
        <v>33.614627285513357</v>
      </c>
      <c r="BV47" s="1742">
        <v>38</v>
      </c>
      <c r="BW47" s="1749">
        <f t="shared" si="30"/>
        <v>5.3445850914205346</v>
      </c>
      <c r="BX47" s="1500">
        <v>37</v>
      </c>
      <c r="BY47" s="1501" t="s">
        <v>346</v>
      </c>
      <c r="BZ47" s="1501">
        <v>37</v>
      </c>
    </row>
    <row r="48" spans="1:78" s="1501" customFormat="1" ht="12.75" customHeight="1" x14ac:dyDescent="0.25">
      <c r="B48" s="1506"/>
      <c r="AJ48" s="1507"/>
      <c r="BX48" s="1508"/>
    </row>
    <row r="49" spans="2:77" s="1501" customFormat="1" ht="13.5" x14ac:dyDescent="0.25">
      <c r="B49" s="1509" t="s">
        <v>41</v>
      </c>
      <c r="C49" s="1510">
        <f>SUM(C11:C47)</f>
        <v>680127</v>
      </c>
      <c r="D49" s="1511">
        <f>SUM(D11:D47)</f>
        <v>611556</v>
      </c>
      <c r="E49" s="1494">
        <f>ROUND(D49/$C49*100,1)</f>
        <v>89.9</v>
      </c>
      <c r="F49" s="1511">
        <f>SUM(F11:F47)</f>
        <v>548044</v>
      </c>
      <c r="G49" s="1494">
        <f>ROUND(F49/$C49*100,1)</f>
        <v>80.599999999999994</v>
      </c>
      <c r="H49" s="1511">
        <f>SUM(H11:H47)</f>
        <v>54864</v>
      </c>
      <c r="I49" s="1494">
        <f>ROUND(H49/$C49*100,1)</f>
        <v>8.1</v>
      </c>
      <c r="J49" s="1511">
        <f>SUM(J11:J47)</f>
        <v>602908</v>
      </c>
      <c r="K49" s="1494">
        <f>ROUND(J49/$C49*100,1)</f>
        <v>88.6</v>
      </c>
      <c r="L49" s="1511">
        <f>SUM(L11:L47)</f>
        <v>647017</v>
      </c>
      <c r="M49" s="1494">
        <f>ROUND(L49/$C49*100,1)</f>
        <v>95.1</v>
      </c>
      <c r="N49" s="1511">
        <f>SUM(N11:N47)</f>
        <v>635634</v>
      </c>
      <c r="O49" s="1494">
        <f>ROUND(N49/$C49*100,1)</f>
        <v>93.5</v>
      </c>
      <c r="P49" s="1511">
        <f>SUM(P11:P47)</f>
        <v>647207</v>
      </c>
      <c r="Q49" s="1494">
        <f>ROUND(P49/$C49*100,1)</f>
        <v>95.2</v>
      </c>
      <c r="R49" s="1511">
        <f>SUM(R11:R47)</f>
        <v>641459</v>
      </c>
      <c r="S49" s="1494">
        <f>ROUND(R49/$C49*100,1)</f>
        <v>94.3</v>
      </c>
      <c r="T49" s="1511">
        <f>SUM(T11:T47)</f>
        <v>635987</v>
      </c>
      <c r="U49" s="1494">
        <f>ROUND(T49/$C49*100,1)</f>
        <v>93.5</v>
      </c>
      <c r="V49" s="1511">
        <f>SUM(V11:V47)</f>
        <v>628139</v>
      </c>
      <c r="W49" s="1494">
        <f>ROUND(V49/C49*100,1)</f>
        <v>92.4</v>
      </c>
      <c r="X49" s="1511">
        <f>SUM(X11:X47)</f>
        <v>625389</v>
      </c>
      <c r="Y49" s="1494">
        <f>ROUND(X49/$C49*100,1)</f>
        <v>92</v>
      </c>
      <c r="Z49" s="1511">
        <f>SUM(Z11:Z47)</f>
        <v>555450</v>
      </c>
      <c r="AA49" s="1494">
        <f>ROUND(Z49/C49*100,1)</f>
        <v>81.7</v>
      </c>
      <c r="AB49" s="1511">
        <f>SUM(AB11:AB47)</f>
        <v>423301</v>
      </c>
      <c r="AC49" s="1494">
        <f>ROUND(AB49/C49*100,1)</f>
        <v>62.2</v>
      </c>
      <c r="AD49" s="1511">
        <f>SUM(AD11:AD47)</f>
        <v>653988</v>
      </c>
      <c r="AE49" s="1494">
        <f>ROUND(AD49/$C49*100,1)</f>
        <v>96.2</v>
      </c>
      <c r="AF49" s="1511">
        <f>SUM(AF11:AF47)</f>
        <v>644312</v>
      </c>
      <c r="AG49" s="1494">
        <f>ROUND(AF49/$C49*100,1)</f>
        <v>94.7</v>
      </c>
      <c r="AH49" s="1512">
        <f>SUM(AH11:AH47)</f>
        <v>702452</v>
      </c>
      <c r="AI49" s="1511">
        <f>SUM(AI11:AI47)</f>
        <v>663997</v>
      </c>
      <c r="AJ49" s="1495">
        <f>ROUND(AI49/$AH49*100,1)</f>
        <v>94.5</v>
      </c>
      <c r="AK49" s="1511">
        <f>SUM(AK11:AK47)</f>
        <v>651101</v>
      </c>
      <c r="AL49" s="1494">
        <f>ROUND(AK49/$AH49*100,1)</f>
        <v>92.7</v>
      </c>
      <c r="AM49" s="1511">
        <f>SUM(AM11:AM47)</f>
        <v>666520</v>
      </c>
      <c r="AN49" s="1494">
        <f>ROUND(AM49/$AH49*100,1)</f>
        <v>94.9</v>
      </c>
      <c r="AO49" s="1511">
        <f>SUM(AO11:AO47)</f>
        <v>631253</v>
      </c>
      <c r="AP49" s="1494">
        <f>ROUND(AO49/$AH49*100,1)</f>
        <v>89.9</v>
      </c>
      <c r="AQ49" s="1511">
        <f>SUM(AQ11:AQ47)</f>
        <v>652004</v>
      </c>
      <c r="AR49" s="1494">
        <f>ROUND(AQ49/$AH49*100,1)</f>
        <v>92.8</v>
      </c>
      <c r="AS49" s="1511">
        <f>SUM(AS11:AS47)</f>
        <v>11050</v>
      </c>
      <c r="AT49" s="1494">
        <f>AS49/AH49*100</f>
        <v>1.5730612198413558</v>
      </c>
      <c r="AU49" s="1511">
        <f>SUM(AU11:AU47)</f>
        <v>10481</v>
      </c>
      <c r="AV49" s="1511">
        <f>SUM(AV11:AV47)</f>
        <v>26419</v>
      </c>
      <c r="AW49" s="1511">
        <f>SUM(AW11:AW47)</f>
        <v>619621</v>
      </c>
      <c r="AX49" s="1494">
        <f>ROUND(AW49/$AH49*100,1)</f>
        <v>88.2</v>
      </c>
      <c r="AY49" s="1511">
        <f>SUM(AY11:AY47)</f>
        <v>619043</v>
      </c>
      <c r="AZ49" s="1494">
        <f>ROUND(AY49/$AH49*100,1)</f>
        <v>88.1</v>
      </c>
      <c r="BA49" s="1513">
        <f>SUM(BA11:BA47)</f>
        <v>746063</v>
      </c>
      <c r="BB49" s="1511">
        <f>SUM(BB11:BB47)</f>
        <v>665503</v>
      </c>
      <c r="BC49" s="1497">
        <f>ROUND(BB49/$BA49*100,1)</f>
        <v>89.2</v>
      </c>
      <c r="BD49" s="1511">
        <f>SUM(BD11:BD47)</f>
        <v>664985</v>
      </c>
      <c r="BE49" s="1497">
        <f>ROUND(BD49/$BA49*100,1)</f>
        <v>89.1</v>
      </c>
      <c r="BF49" s="1511">
        <f>SUM(BF11:BF47)</f>
        <v>666362</v>
      </c>
      <c r="BG49" s="1497">
        <f>ROUND(BF49/$BA49*100,1)</f>
        <v>89.3</v>
      </c>
      <c r="BH49" s="1511">
        <f>SUM(BH11:BH47)</f>
        <v>242357</v>
      </c>
      <c r="BI49" s="1497">
        <f>ROUND(BH49/($BA49/2)*100,1)</f>
        <v>65</v>
      </c>
      <c r="BJ49" s="1514">
        <f>SUM(BJ11:BJ47)</f>
        <v>430176</v>
      </c>
      <c r="BK49" s="1514">
        <f>SUM(BK11:BK47)</f>
        <v>410927</v>
      </c>
      <c r="BL49" s="1515">
        <f>SUM(BL11:BL47)</f>
        <v>1859664</v>
      </c>
      <c r="BM49" s="1514">
        <f>SUM(BM11:BM47)</f>
        <v>1412522</v>
      </c>
      <c r="BN49" s="1499">
        <f>BM49/BL49*100</f>
        <v>75.955764052000802</v>
      </c>
      <c r="BO49" s="1514">
        <f>SUM(BO11:BO47)</f>
        <v>478617</v>
      </c>
      <c r="BP49" s="1497">
        <f>ROUND(BO49/C49*100,1)</f>
        <v>70.400000000000006</v>
      </c>
      <c r="BQ49" s="1514">
        <f>SUM(BQ11:BQ47)</f>
        <v>527558</v>
      </c>
      <c r="BR49" s="1497">
        <f>ROUND(BQ49/C49*100,1)</f>
        <v>77.599999999999994</v>
      </c>
      <c r="BS49" s="1514">
        <f>SUM(BS11:BS47)</f>
        <v>370564</v>
      </c>
      <c r="BT49" s="1516">
        <f>SUM(BT11:BT47)</f>
        <v>126299</v>
      </c>
      <c r="BU49" s="1497">
        <f>BT49/BS49*100</f>
        <v>34.08291145389191</v>
      </c>
      <c r="BV49" s="1516">
        <f>SUM(BV11:BV47)</f>
        <v>40997</v>
      </c>
      <c r="BW49" s="1497">
        <f>BV49/BS49*100</f>
        <v>11.06340605131637</v>
      </c>
      <c r="BX49" s="1517"/>
      <c r="BY49" s="1518"/>
    </row>
    <row r="50" spans="2:77" x14ac:dyDescent="0.3">
      <c r="B50" s="1520" t="s">
        <v>227</v>
      </c>
      <c r="C50" s="1521"/>
      <c r="D50" s="1522"/>
      <c r="E50" s="1523">
        <f>E49-$B$61</f>
        <v>-10.059999999999988</v>
      </c>
      <c r="F50" s="1523"/>
      <c r="G50" s="1523"/>
      <c r="H50" s="1523"/>
      <c r="I50" s="1523"/>
      <c r="J50" s="1523"/>
      <c r="K50" s="1523">
        <f>K49-$B$61</f>
        <v>-11.36</v>
      </c>
      <c r="L50" s="1521"/>
      <c r="M50" s="1521"/>
      <c r="N50" s="1521"/>
      <c r="O50" s="1523">
        <f>O49-$B$61</f>
        <v>-6.4599999999999937</v>
      </c>
      <c r="P50" s="1522"/>
      <c r="Q50" s="1523">
        <f>Q49-$B$61</f>
        <v>-4.7599999999999909</v>
      </c>
      <c r="R50" s="1522"/>
      <c r="S50" s="1523">
        <f>S49-$B$61</f>
        <v>-5.6599999999999966</v>
      </c>
      <c r="T50" s="1522"/>
      <c r="U50" s="1523">
        <f>U49-$B$61</f>
        <v>-6.4599999999999937</v>
      </c>
      <c r="V50" s="1522"/>
      <c r="W50" s="1523">
        <f>W49-$B$61</f>
        <v>-7.5599999999999881</v>
      </c>
      <c r="X50" s="1522"/>
      <c r="Y50" s="1523">
        <f>Y49-$B$61</f>
        <v>-7.9599999999999937</v>
      </c>
      <c r="Z50" s="1523"/>
      <c r="AA50" s="1523"/>
      <c r="AB50" s="1523"/>
      <c r="AC50" s="1523"/>
      <c r="AD50" s="1522"/>
      <c r="AE50" s="1523">
        <f>AE49-$B$61</f>
        <v>-3.7599999999999909</v>
      </c>
      <c r="AF50" s="1522"/>
      <c r="AG50" s="1523">
        <f>AG49-$B$61</f>
        <v>-5.2599999999999909</v>
      </c>
      <c r="AH50" s="1522"/>
      <c r="AI50" s="1522"/>
      <c r="AJ50" s="1523">
        <f>AJ49-$B$61</f>
        <v>-5.4599999999999937</v>
      </c>
      <c r="AK50" s="1523"/>
      <c r="AL50" s="1523"/>
      <c r="AM50" s="1521"/>
      <c r="AN50" s="1521"/>
      <c r="AO50" s="1522"/>
      <c r="AP50" s="1523">
        <f>AP49-$B$61</f>
        <v>-10.059999999999988</v>
      </c>
      <c r="AQ50" s="1522"/>
      <c r="AR50" s="1523">
        <f>AR49-$B$61</f>
        <v>-7.1599999999999966</v>
      </c>
      <c r="AS50" s="1521"/>
      <c r="AT50" s="1524"/>
      <c r="AU50" s="1521"/>
      <c r="AV50" s="1521"/>
      <c r="AW50" s="1521"/>
      <c r="AX50" s="1523">
        <f>AX49-$B$61</f>
        <v>-11.759999999999991</v>
      </c>
      <c r="AY50" s="1521"/>
      <c r="AZ50" s="1523">
        <f>AZ49-$B$61</f>
        <v>-11.86</v>
      </c>
      <c r="BA50" s="1521"/>
      <c r="BB50" s="1521"/>
      <c r="BC50" s="1523">
        <f>BC49-$B$61</f>
        <v>-10.759999999999991</v>
      </c>
      <c r="BD50" s="1521"/>
      <c r="BE50" s="1523">
        <f>BE49-$B$61</f>
        <v>-10.86</v>
      </c>
      <c r="BF50" s="1521"/>
      <c r="BG50" s="1523">
        <f>BG49-$B$61</f>
        <v>-10.659999999999997</v>
      </c>
      <c r="BH50" s="1523"/>
      <c r="BI50" s="1523"/>
      <c r="BJ50" s="1523"/>
      <c r="BK50" s="1521"/>
      <c r="BL50" s="1521"/>
      <c r="BM50" s="1521"/>
      <c r="BN50" s="1521"/>
      <c r="BO50" s="1521"/>
      <c r="BP50" s="1521"/>
      <c r="BQ50" s="1521"/>
      <c r="BR50" s="1521"/>
      <c r="BS50" s="1521"/>
      <c r="BT50" s="1521"/>
      <c r="BU50" s="1521"/>
      <c r="BV50" s="1521"/>
      <c r="BW50" s="1521"/>
    </row>
    <row r="51" spans="2:77" x14ac:dyDescent="0.3">
      <c r="B51" s="1525" t="s">
        <v>228</v>
      </c>
      <c r="C51" s="1526">
        <v>43800</v>
      </c>
      <c r="D51" s="1527">
        <f>[2]MUNICIPIOS!C1127</f>
        <v>12</v>
      </c>
      <c r="M51" s="1528"/>
      <c r="N51" s="1529">
        <f>N49*100/C49</f>
        <v>93.458133554468503</v>
      </c>
      <c r="O51" s="1530"/>
      <c r="T51" s="1529">
        <f>T49*100/C49</f>
        <v>93.510035625699317</v>
      </c>
      <c r="U51" s="1529">
        <f>T51/11*12</f>
        <v>102.01094795530835</v>
      </c>
    </row>
    <row r="52" spans="2:77" x14ac:dyDescent="0.3">
      <c r="B52" s="1521" t="s">
        <v>229</v>
      </c>
      <c r="C52" s="1531">
        <v>43885</v>
      </c>
      <c r="D52" s="1508"/>
      <c r="E52" s="1508">
        <f>ROUND((E49/$D$51)*12,1)</f>
        <v>89.9</v>
      </c>
      <c r="F52" s="1508"/>
      <c r="G52" s="1508"/>
      <c r="H52" s="1508"/>
      <c r="I52" s="1508"/>
      <c r="J52" s="1508"/>
      <c r="K52" s="1508"/>
      <c r="L52" s="1521"/>
      <c r="M52" s="1531"/>
      <c r="N52" s="1532">
        <f>N51/11*12</f>
        <v>101.95432751396564</v>
      </c>
      <c r="O52" s="1533">
        <f>ROUND((O49/$D$51)*12,1)</f>
        <v>93.5</v>
      </c>
      <c r="P52" s="1508"/>
      <c r="Q52" s="1508">
        <f>ROUND((Q49/$D$51)*12,1)</f>
        <v>95.2</v>
      </c>
      <c r="R52" s="1508"/>
      <c r="S52" s="1508"/>
      <c r="T52" s="1534">
        <f>ROUND((T49/$D$51)*12,0)</f>
        <v>635987</v>
      </c>
      <c r="U52" s="1533">
        <f>ROUND((U49/$D$51)*12,1)</f>
        <v>93.5</v>
      </c>
      <c r="V52" s="1508"/>
      <c r="W52" s="1508"/>
      <c r="X52" s="1508"/>
      <c r="Y52" s="1508">
        <f>ROUND((Y49/$D$51)*12,1)</f>
        <v>92</v>
      </c>
      <c r="Z52" s="1508"/>
      <c r="AA52" s="1508">
        <f>ROUND((AA49/$D$51)*12,1)</f>
        <v>81.7</v>
      </c>
      <c r="AB52" s="1508"/>
      <c r="AC52" s="1508">
        <f>ROUND((AC49/$D$51)*12,1)</f>
        <v>62.2</v>
      </c>
      <c r="AD52" s="1508"/>
      <c r="AE52" s="1508"/>
      <c r="AF52" s="1508"/>
      <c r="AG52" s="1508">
        <f>ROUND((AG49/$D$51)*12,1)</f>
        <v>94.7</v>
      </c>
      <c r="AH52" s="1508"/>
      <c r="AI52" s="1534">
        <f>ROUND((AI49/$D$51)*12,0)</f>
        <v>663997</v>
      </c>
      <c r="AJ52" s="1535">
        <f>ROUND((AJ49/$D$51)*12,1)</f>
        <v>94.5</v>
      </c>
      <c r="AK52" s="1535"/>
      <c r="AL52" s="1535">
        <f>ROUND((AL49/$D$51)*12,1)</f>
        <v>92.7</v>
      </c>
      <c r="AM52" s="1508"/>
      <c r="AN52" s="1508">
        <f>ROUND((AN49/$D$51)*12,1)</f>
        <v>94.9</v>
      </c>
      <c r="AO52" s="1508"/>
      <c r="AP52" s="1508">
        <f>ROUND((AP49/$D$51)*12,1)</f>
        <v>89.9</v>
      </c>
      <c r="AQ52" s="1508"/>
      <c r="AR52" s="1508">
        <f>ROUND((AR49/$D$51)*12,1)</f>
        <v>92.8</v>
      </c>
      <c r="AS52" s="1508"/>
      <c r="AT52" s="1508"/>
      <c r="AU52" s="1508"/>
      <c r="AV52" s="1508"/>
      <c r="AW52" s="1521"/>
      <c r="AX52" s="1508">
        <f>ROUND((AX49/$D$51)*12,1)</f>
        <v>88.2</v>
      </c>
      <c r="AY52" s="1521"/>
      <c r="AZ52" s="1508">
        <f>ROUND((AZ49/$D$51)*12,1)</f>
        <v>88.1</v>
      </c>
      <c r="BA52" s="1521"/>
      <c r="BB52" s="1521"/>
      <c r="BC52" s="1508">
        <f>ROUND((BC49/$D$51)*12,1)</f>
        <v>89.2</v>
      </c>
      <c r="BD52" s="1521"/>
      <c r="BE52" s="1508">
        <f>ROUND((BE49/$D$51)*12,1)</f>
        <v>89.1</v>
      </c>
      <c r="BF52" s="1521"/>
      <c r="BG52" s="1508">
        <f>ROUND((BG49/$D$51)*12,1)</f>
        <v>89.3</v>
      </c>
      <c r="BH52" s="1508"/>
      <c r="BI52" s="1508">
        <f>ROUND((BI49/$D$51)*12,1)</f>
        <v>65</v>
      </c>
      <c r="BJ52" s="1521"/>
      <c r="BK52" s="1521"/>
      <c r="BL52" s="1521"/>
      <c r="BM52" s="1521"/>
      <c r="BN52" s="1508">
        <f>ROUND((BN49/$D$51)*12,1)</f>
        <v>76</v>
      </c>
      <c r="BO52" s="1521"/>
      <c r="BP52" s="1508">
        <f>ROUND((BP49/$D$51)*12,1)</f>
        <v>70.400000000000006</v>
      </c>
      <c r="BQ52" s="1521"/>
      <c r="BR52" s="1508">
        <f>ROUND((BR49/$D$51)*12,1)</f>
        <v>77.599999999999994</v>
      </c>
      <c r="BS52" s="1521"/>
      <c r="BT52" s="1521"/>
      <c r="BU52" s="1508">
        <f>ROUND((BU49/$D$51)*12,1)</f>
        <v>34.1</v>
      </c>
      <c r="BV52" s="1521"/>
      <c r="BW52" s="1521"/>
    </row>
    <row r="53" spans="2:77" x14ac:dyDescent="0.3">
      <c r="B53" s="1536" t="s">
        <v>55</v>
      </c>
      <c r="C53" s="1253"/>
      <c r="M53" s="1253"/>
      <c r="Z53" s="1537">
        <f>Z35</f>
        <v>15156</v>
      </c>
      <c r="AA53" s="1538">
        <f>C35/2</f>
        <v>10012</v>
      </c>
      <c r="AB53" s="1539">
        <f>Z53/AA53*100</f>
        <v>151.3783459848182</v>
      </c>
    </row>
    <row r="54" spans="2:77" x14ac:dyDescent="0.3">
      <c r="B54" s="1254" t="s">
        <v>463</v>
      </c>
      <c r="C54" s="1540">
        <v>100</v>
      </c>
      <c r="D54" s="1541"/>
      <c r="G54" s="1544" t="s">
        <v>503</v>
      </c>
      <c r="M54" s="1540"/>
      <c r="O54" s="1521"/>
      <c r="P54" s="1521"/>
      <c r="AB54" s="1538">
        <f>AB35/AA53*100</f>
        <v>124.14103076308429</v>
      </c>
      <c r="BH54" s="1542">
        <f>[2]MUNICIPIOS!BQ1129</f>
        <v>50</v>
      </c>
      <c r="BI54" s="1543"/>
    </row>
    <row r="55" spans="2:77" x14ac:dyDescent="0.3">
      <c r="B55" s="1257" t="s">
        <v>335</v>
      </c>
      <c r="C55" s="1540">
        <v>95</v>
      </c>
      <c r="D55" s="1540">
        <v>99.99</v>
      </c>
      <c r="L55" s="1540"/>
      <c r="M55" s="1540"/>
      <c r="O55" s="1521"/>
      <c r="P55" s="1521"/>
      <c r="BH55" s="1542">
        <f>[2]MUNICIPIOS!BQ1130</f>
        <v>47.5</v>
      </c>
      <c r="BI55" s="1542">
        <f>[2]MUNICIPIOS!BR1130</f>
        <v>49.99</v>
      </c>
    </row>
    <row r="56" spans="2:77" x14ac:dyDescent="0.3">
      <c r="B56" s="1258" t="s">
        <v>240</v>
      </c>
      <c r="C56" s="1540">
        <v>90</v>
      </c>
      <c r="D56" s="1540">
        <v>94.99</v>
      </c>
      <c r="L56" s="1540"/>
      <c r="M56" s="1540"/>
      <c r="O56" s="1521"/>
      <c r="P56" s="1521"/>
      <c r="BH56" s="1542">
        <f>[2]MUNICIPIOS!BQ1131</f>
        <v>45</v>
      </c>
      <c r="BI56" s="1542">
        <f>[2]MUNICIPIOS!BR1131</f>
        <v>47.49</v>
      </c>
    </row>
    <row r="57" spans="2:77" x14ac:dyDescent="0.3">
      <c r="B57" s="1259" t="s">
        <v>241</v>
      </c>
      <c r="C57" s="1540">
        <v>80</v>
      </c>
      <c r="D57" s="1540">
        <v>89.99</v>
      </c>
      <c r="L57" s="1540"/>
      <c r="M57" s="1540"/>
      <c r="O57" s="1521"/>
      <c r="P57" s="1521" t="s">
        <v>475</v>
      </c>
      <c r="R57" s="1521"/>
      <c r="BH57" s="1542">
        <f>[2]MUNICIPIOS!BQ1132</f>
        <v>40</v>
      </c>
      <c r="BI57" s="1542">
        <f>[2]MUNICIPIOS!BR1132</f>
        <v>44.99</v>
      </c>
    </row>
    <row r="58" spans="2:77" ht="18.75" customHeight="1" x14ac:dyDescent="0.3">
      <c r="B58" s="1260" t="s">
        <v>242</v>
      </c>
      <c r="C58" s="1540">
        <v>50</v>
      </c>
      <c r="D58" s="1540">
        <v>79.989999999999995</v>
      </c>
      <c r="L58" s="1540"/>
      <c r="M58" s="1540"/>
      <c r="O58" s="1545" t="s">
        <v>353</v>
      </c>
      <c r="P58" s="1546">
        <f>E49</f>
        <v>89.9</v>
      </c>
      <c r="R58" s="1547"/>
      <c r="BH58" s="1542">
        <f>[2]MUNICIPIOS!BQ1133</f>
        <v>25</v>
      </c>
      <c r="BI58" s="1542">
        <f>[2]MUNICIPIOS!BR1133</f>
        <v>39.99</v>
      </c>
    </row>
    <row r="59" spans="2:77" ht="15.75" customHeight="1" x14ac:dyDescent="0.3">
      <c r="B59" s="1261" t="s">
        <v>515</v>
      </c>
      <c r="C59" s="1540">
        <v>0.1</v>
      </c>
      <c r="D59" s="1540">
        <v>49.99</v>
      </c>
      <c r="L59" s="1540"/>
      <c r="M59" s="1548"/>
      <c r="O59" s="1549" t="s">
        <v>226</v>
      </c>
      <c r="P59" s="1546">
        <f>K49</f>
        <v>88.6</v>
      </c>
      <c r="R59" s="1547"/>
      <c r="BH59" s="1542">
        <f>[2]MUNICIPIOS!BQ1134</f>
        <v>0.1</v>
      </c>
      <c r="BI59" s="1542">
        <f>[2]MUNICIPIOS!BR1134</f>
        <v>24.99</v>
      </c>
    </row>
    <row r="60" spans="2:77" ht="15" customHeight="1" x14ac:dyDescent="0.3">
      <c r="B60" s="1550" t="s">
        <v>244</v>
      </c>
      <c r="C60" s="1551"/>
      <c r="D60" s="1552"/>
      <c r="L60" s="1521"/>
      <c r="M60" s="1521"/>
      <c r="O60" s="1553" t="s">
        <v>504</v>
      </c>
      <c r="P60" s="1546">
        <f>M49</f>
        <v>95.1</v>
      </c>
      <c r="R60" s="1547"/>
      <c r="U60" s="1521"/>
      <c r="AJ60" s="1521"/>
      <c r="BH60" s="1542">
        <f>[2]MUNICIPIOS!BQ1135</f>
        <v>0</v>
      </c>
      <c r="BI60" s="1542">
        <f>[2]MUNICIPIOS!BR1135</f>
        <v>0</v>
      </c>
    </row>
    <row r="61" spans="2:77" ht="15" customHeight="1" x14ac:dyDescent="0.3">
      <c r="B61" s="1267">
        <v>99.96</v>
      </c>
      <c r="C61" s="1554"/>
      <c r="D61" s="1554"/>
      <c r="O61" s="1555" t="s">
        <v>505</v>
      </c>
      <c r="P61" s="1546">
        <f>O49</f>
        <v>93.5</v>
      </c>
      <c r="R61" s="1547"/>
      <c r="U61" s="1521"/>
      <c r="AJ61" s="1521"/>
    </row>
    <row r="62" spans="2:77" x14ac:dyDescent="0.3">
      <c r="B62" s="1556">
        <v>95</v>
      </c>
      <c r="O62" s="1557" t="s">
        <v>506</v>
      </c>
      <c r="P62" s="1546">
        <f>U49</f>
        <v>93.5</v>
      </c>
      <c r="R62" s="1547"/>
      <c r="U62" s="1521"/>
      <c r="AJ62" s="1521"/>
    </row>
    <row r="63" spans="2:77" ht="14.25" customHeight="1" x14ac:dyDescent="0.3">
      <c r="B63" s="1685"/>
      <c r="C63" s="1680"/>
      <c r="O63" s="1558" t="s">
        <v>507</v>
      </c>
      <c r="P63" s="1559">
        <f>Y49</f>
        <v>92</v>
      </c>
      <c r="R63" s="1560"/>
      <c r="T63" s="1680"/>
      <c r="U63" s="1680"/>
      <c r="AJ63" s="1521"/>
    </row>
    <row r="64" spans="2:77" ht="14.25" customHeight="1" x14ac:dyDescent="0.3">
      <c r="B64" s="1680"/>
      <c r="C64" s="1681"/>
      <c r="D64" s="1521"/>
      <c r="E64" s="1521"/>
      <c r="F64" s="1521"/>
      <c r="G64" s="1521"/>
      <c r="H64" s="1521"/>
      <c r="I64" s="1521"/>
      <c r="J64" s="1521"/>
      <c r="K64" s="1521"/>
      <c r="L64" s="1521"/>
      <c r="M64" s="1521"/>
      <c r="N64" s="1521"/>
      <c r="O64" s="1562" t="s">
        <v>508</v>
      </c>
      <c r="P64" s="1559">
        <f>AC49</f>
        <v>62.2</v>
      </c>
      <c r="Q64" s="1521"/>
      <c r="R64" s="1560"/>
      <c r="S64" s="1521"/>
      <c r="T64" s="1681"/>
      <c r="U64" s="1694"/>
      <c r="V64" s="1521"/>
      <c r="W64" s="1521"/>
      <c r="X64" s="1521"/>
      <c r="Y64" s="1521"/>
      <c r="Z64" s="1521"/>
      <c r="AA64" s="1521"/>
      <c r="AB64" s="1521"/>
      <c r="AC64" s="1521"/>
      <c r="AD64" s="1521"/>
      <c r="AE64" s="1521"/>
      <c r="AF64" s="1521"/>
      <c r="AG64" s="1521"/>
      <c r="AH64" s="1561">
        <f>AH14+AH15</f>
        <v>42228</v>
      </c>
      <c r="AI64" s="1561">
        <f>AI14+AI15</f>
        <v>41882</v>
      </c>
      <c r="AJ64" s="1563">
        <f>ROUND(AI64/$AH64*100,1)</f>
        <v>99.2</v>
      </c>
      <c r="AK64" s="1564"/>
      <c r="AL64" s="1564"/>
      <c r="AM64" s="1521"/>
      <c r="AN64" s="1521"/>
      <c r="AO64" s="1521"/>
      <c r="AP64" s="1521"/>
      <c r="AQ64" s="1521"/>
      <c r="AR64" s="1521"/>
      <c r="AS64" s="1521"/>
      <c r="AT64" s="1521"/>
      <c r="AU64" s="1521"/>
      <c r="AV64" s="1521"/>
      <c r="AW64" s="1521"/>
      <c r="AX64" s="1521"/>
      <c r="AY64" s="1521"/>
      <c r="AZ64" s="1521"/>
      <c r="BA64" s="1521"/>
      <c r="BB64" s="1521"/>
      <c r="BC64" s="1521"/>
      <c r="BD64" s="1521"/>
      <c r="BE64" s="1521"/>
      <c r="BF64" s="1521"/>
      <c r="BG64" s="1521"/>
      <c r="BH64" s="1521"/>
      <c r="BI64" s="1521"/>
      <c r="BJ64" s="1521"/>
      <c r="BK64" s="1521"/>
      <c r="BL64" s="1521"/>
      <c r="BM64" s="1521"/>
      <c r="BN64" s="1521"/>
      <c r="BO64" s="1521"/>
      <c r="BP64" s="1521"/>
      <c r="BQ64" s="1521"/>
      <c r="BR64" s="1521"/>
      <c r="BS64" s="1521"/>
      <c r="BT64" s="1521"/>
      <c r="BU64" s="1521"/>
      <c r="BV64" s="1521"/>
      <c r="BW64" s="1521"/>
    </row>
    <row r="65" spans="1:77" x14ac:dyDescent="0.3">
      <c r="B65" s="1680"/>
      <c r="C65" s="1681"/>
      <c r="D65" s="1521"/>
      <c r="E65" s="1521"/>
      <c r="F65" s="1521"/>
      <c r="G65" s="1521"/>
      <c r="H65" s="1521"/>
      <c r="I65" s="1521"/>
      <c r="J65" s="1521"/>
      <c r="K65" s="1521"/>
      <c r="L65" s="1521"/>
      <c r="M65" s="1521"/>
      <c r="N65" s="1521"/>
      <c r="O65" s="1565" t="s">
        <v>456</v>
      </c>
      <c r="P65" s="1546">
        <f>AG49</f>
        <v>94.7</v>
      </c>
      <c r="Q65" s="1521"/>
      <c r="R65" s="1547"/>
      <c r="S65" s="1521"/>
      <c r="T65" s="1681"/>
      <c r="U65" s="1694"/>
      <c r="V65" s="1521"/>
      <c r="W65" s="1521"/>
      <c r="X65" s="1521"/>
      <c r="Y65" s="1521"/>
      <c r="Z65" s="1521"/>
      <c r="AA65" s="1521"/>
      <c r="AB65" s="1521"/>
      <c r="AC65" s="1521"/>
      <c r="AD65" s="1521"/>
      <c r="AE65" s="1521"/>
      <c r="AF65" s="1521"/>
      <c r="AG65" s="1521"/>
      <c r="AH65" s="1561">
        <f>AH17+AH18</f>
        <v>39665</v>
      </c>
      <c r="AI65" s="1561">
        <f>AI17+AI18</f>
        <v>35758</v>
      </c>
      <c r="AJ65" s="1563">
        <f>ROUND(AI65/$AH65*100,1)</f>
        <v>90.2</v>
      </c>
      <c r="AK65" s="1564"/>
      <c r="AL65" s="1564"/>
      <c r="AM65" s="1521"/>
      <c r="AN65" s="1521"/>
      <c r="AO65" s="1521"/>
      <c r="AP65" s="1521"/>
      <c r="AQ65" s="1521"/>
      <c r="AR65" s="1521"/>
      <c r="AS65" s="1521"/>
      <c r="AT65" s="1521"/>
      <c r="AU65" s="1521"/>
      <c r="AV65" s="1521"/>
      <c r="AW65" s="1521"/>
      <c r="AX65" s="1521"/>
      <c r="AY65" s="1521"/>
      <c r="AZ65" s="1521"/>
      <c r="BA65" s="1521"/>
      <c r="BB65" s="1521"/>
      <c r="BC65" s="1521"/>
      <c r="BD65" s="1521"/>
      <c r="BE65" s="1521"/>
      <c r="BF65" s="1521"/>
      <c r="BG65" s="1521"/>
      <c r="BH65" s="1521"/>
      <c r="BI65" s="1521"/>
      <c r="BJ65" s="1521"/>
      <c r="BK65" s="1521"/>
      <c r="BL65" s="1521"/>
      <c r="BM65" s="1521"/>
      <c r="BN65" s="1521"/>
      <c r="BO65" s="1521"/>
      <c r="BP65" s="1521"/>
      <c r="BQ65" s="1521"/>
      <c r="BR65" s="1521"/>
      <c r="BS65" s="1521"/>
      <c r="BT65" s="1521"/>
      <c r="BU65" s="1521"/>
      <c r="BV65" s="1521"/>
      <c r="BW65" s="1521"/>
    </row>
    <row r="66" spans="1:77" x14ac:dyDescent="0.3">
      <c r="B66" s="1680"/>
      <c r="C66" s="1681"/>
      <c r="D66" s="1521"/>
      <c r="E66" s="1521"/>
      <c r="F66" s="1521"/>
      <c r="G66" s="1521"/>
      <c r="H66" s="1521"/>
      <c r="I66" s="1521"/>
      <c r="J66" s="1521"/>
      <c r="K66" s="1521"/>
      <c r="L66" s="1521"/>
      <c r="M66" s="1521"/>
      <c r="N66" s="1521"/>
      <c r="O66" s="1566" t="s">
        <v>509</v>
      </c>
      <c r="P66" s="1546">
        <f>AJ49</f>
        <v>94.5</v>
      </c>
      <c r="Q66" s="1521"/>
      <c r="R66" s="1547"/>
      <c r="S66" s="1521"/>
      <c r="T66" s="1681"/>
      <c r="U66" s="1694"/>
      <c r="V66" s="1521"/>
      <c r="W66" s="1521"/>
      <c r="X66" s="1521"/>
      <c r="Y66" s="1521"/>
      <c r="Z66" s="1521"/>
      <c r="AA66" s="1521"/>
      <c r="AB66" s="1521"/>
      <c r="AC66" s="1521"/>
      <c r="AD66" s="1521"/>
      <c r="AE66" s="1521"/>
      <c r="AF66" s="1521"/>
      <c r="AG66" s="1521"/>
      <c r="AH66" s="1561">
        <f>AH32+AH33</f>
        <v>26005</v>
      </c>
      <c r="AI66" s="1561">
        <f>AI32+AI33</f>
        <v>24413</v>
      </c>
      <c r="AJ66" s="1563">
        <f>ROUND(AI66/$AH66*100,1)</f>
        <v>93.9</v>
      </c>
      <c r="AK66" s="1564"/>
      <c r="AL66" s="1564"/>
      <c r="AM66" s="1521"/>
      <c r="AN66" s="1521"/>
      <c r="AO66" s="1521"/>
      <c r="AP66" s="1521"/>
      <c r="AQ66" s="1521"/>
      <c r="AR66" s="1521"/>
      <c r="AS66" s="1521"/>
      <c r="AT66" s="1521"/>
      <c r="AU66" s="1521"/>
      <c r="AV66" s="1521"/>
      <c r="AW66" s="1521"/>
      <c r="AX66" s="1521"/>
      <c r="AY66" s="1521"/>
      <c r="AZ66" s="1521"/>
      <c r="BA66" s="1521"/>
      <c r="BB66" s="1521"/>
      <c r="BC66" s="1521"/>
      <c r="BD66" s="1521"/>
      <c r="BE66" s="1521"/>
      <c r="BF66" s="1521"/>
      <c r="BG66" s="1521"/>
      <c r="BH66" s="1521"/>
      <c r="BI66" s="1521"/>
      <c r="BJ66" s="1521"/>
      <c r="BK66" s="1521"/>
      <c r="BL66" s="1521"/>
      <c r="BM66" s="1521"/>
      <c r="BN66" s="1521"/>
      <c r="BO66" s="1521"/>
      <c r="BP66" s="1521"/>
      <c r="BQ66" s="1521"/>
      <c r="BR66" s="1521"/>
      <c r="BS66" s="1521"/>
      <c r="BT66" s="1521"/>
      <c r="BU66" s="1521"/>
      <c r="BV66" s="1521"/>
      <c r="BW66" s="1521"/>
    </row>
    <row r="67" spans="1:77" x14ac:dyDescent="0.3">
      <c r="B67" s="1680"/>
      <c r="C67" s="1681"/>
      <c r="D67" s="1521"/>
      <c r="E67" s="1521"/>
      <c r="F67" s="1521"/>
      <c r="G67" s="1521"/>
      <c r="H67" s="1521"/>
      <c r="I67" s="1521"/>
      <c r="J67" s="1521"/>
      <c r="K67" s="1521"/>
      <c r="L67" s="1521"/>
      <c r="M67" s="1521"/>
      <c r="N67" s="1521"/>
      <c r="O67" s="1567" t="s">
        <v>459</v>
      </c>
      <c r="P67" s="1546">
        <f>AR49</f>
        <v>92.8</v>
      </c>
      <c r="Q67" s="1521"/>
      <c r="R67" s="1547"/>
      <c r="S67" s="1521"/>
      <c r="T67" s="1681"/>
      <c r="U67" s="1694"/>
      <c r="V67" s="1521"/>
      <c r="W67" s="1521"/>
      <c r="X67" s="1521"/>
      <c r="Y67" s="1521"/>
      <c r="Z67" s="1521"/>
      <c r="AA67" s="1521"/>
      <c r="AB67" s="1521"/>
      <c r="AC67" s="1521"/>
      <c r="AD67" s="1521"/>
      <c r="AE67" s="1521"/>
      <c r="AF67" s="1521"/>
      <c r="AG67" s="1521"/>
      <c r="AH67" s="1561">
        <f>AH44+AH45</f>
        <v>57863</v>
      </c>
      <c r="AI67" s="1561">
        <f>AI44+AI45</f>
        <v>56656</v>
      </c>
      <c r="AJ67" s="1563">
        <f>ROUND(AI67/$AH67*100,1)</f>
        <v>97.9</v>
      </c>
      <c r="AK67" s="1564"/>
      <c r="AL67" s="1564"/>
      <c r="AM67" s="1521"/>
      <c r="AN67" s="1521"/>
      <c r="AO67" s="1521"/>
      <c r="AP67" s="1521"/>
      <c r="AQ67" s="1521"/>
      <c r="AR67" s="1521"/>
      <c r="AS67" s="1521"/>
      <c r="AT67" s="1521"/>
      <c r="AU67" s="1521"/>
      <c r="AV67" s="1521"/>
      <c r="AW67" s="1521"/>
      <c r="AX67" s="1521"/>
      <c r="AY67" s="1521"/>
      <c r="AZ67" s="1521"/>
      <c r="BA67" s="1521"/>
      <c r="BB67" s="1521"/>
      <c r="BC67" s="1521"/>
      <c r="BD67" s="1521"/>
      <c r="BE67" s="1521"/>
      <c r="BF67" s="1521"/>
      <c r="BG67" s="1521"/>
      <c r="BH67" s="1521"/>
      <c r="BI67" s="1521"/>
      <c r="BJ67" s="1521"/>
      <c r="BK67" s="1521"/>
      <c r="BL67" s="1521"/>
      <c r="BM67" s="1521"/>
      <c r="BN67" s="1521"/>
      <c r="BO67" s="1521"/>
      <c r="BP67" s="1521"/>
      <c r="BQ67" s="1521"/>
      <c r="BR67" s="1521"/>
      <c r="BS67" s="1521"/>
      <c r="BT67" s="1521"/>
      <c r="BU67" s="1521"/>
      <c r="BV67" s="1521"/>
      <c r="BW67" s="1521"/>
    </row>
    <row r="68" spans="1:77" ht="17.25" thickBot="1" x14ac:dyDescent="0.35">
      <c r="B68" s="1680"/>
      <c r="C68" s="1680"/>
      <c r="O68" s="1568" t="s">
        <v>510</v>
      </c>
      <c r="P68" s="1546">
        <f>AN49</f>
        <v>94.9</v>
      </c>
      <c r="R68" s="1547"/>
      <c r="T68" s="1680"/>
      <c r="U68" s="1680"/>
    </row>
    <row r="69" spans="1:77" ht="18.75" thickBot="1" x14ac:dyDescent="0.35">
      <c r="B69" s="1680"/>
      <c r="C69" s="1680"/>
      <c r="O69" s="1569" t="s">
        <v>511</v>
      </c>
      <c r="P69" s="1546">
        <f>AL49</f>
        <v>92.7</v>
      </c>
      <c r="R69" s="1547"/>
      <c r="T69" s="1680"/>
      <c r="U69" s="1680"/>
    </row>
    <row r="70" spans="1:77" x14ac:dyDescent="0.3">
      <c r="B70" s="1680"/>
      <c r="C70" s="1680"/>
      <c r="O70" s="1570" t="s">
        <v>512</v>
      </c>
      <c r="P70" s="1559">
        <f>AP49</f>
        <v>89.9</v>
      </c>
      <c r="R70" s="1547"/>
      <c r="T70" s="1680"/>
      <c r="U70" s="1680"/>
    </row>
    <row r="71" spans="1:77" ht="17.25" thickBot="1" x14ac:dyDescent="0.35">
      <c r="B71" s="1680"/>
      <c r="C71" s="1680"/>
      <c r="O71" s="1571" t="s">
        <v>460</v>
      </c>
      <c r="P71" s="1546">
        <f>BG49</f>
        <v>89.3</v>
      </c>
      <c r="R71" s="1572"/>
      <c r="T71" s="1680"/>
      <c r="U71" s="1680"/>
    </row>
    <row r="72" spans="1:77" ht="18.75" thickBot="1" x14ac:dyDescent="0.35">
      <c r="B72" s="1680"/>
      <c r="C72" s="1680"/>
      <c r="O72" s="1569" t="s">
        <v>513</v>
      </c>
      <c r="P72" s="1546">
        <f>BI49</f>
        <v>65</v>
      </c>
      <c r="R72" s="1572"/>
      <c r="T72" s="1680"/>
      <c r="U72" s="1680"/>
    </row>
    <row r="73" spans="1:77" x14ac:dyDescent="0.3">
      <c r="B73" s="1680"/>
      <c r="C73" s="1680"/>
      <c r="O73" s="1573" t="s">
        <v>477</v>
      </c>
      <c r="P73" s="1546">
        <f>B62</f>
        <v>95</v>
      </c>
      <c r="R73" s="1547"/>
      <c r="T73" s="1680"/>
      <c r="U73" s="1680"/>
    </row>
    <row r="74" spans="1:77" x14ac:dyDescent="0.3">
      <c r="B74" s="1680"/>
      <c r="C74" s="1680"/>
      <c r="O74" s="1574"/>
      <c r="P74" s="1574"/>
      <c r="R74" s="1575"/>
      <c r="T74" s="1680"/>
      <c r="U74" s="1680"/>
    </row>
    <row r="75" spans="1:77" ht="23.25" customHeight="1" x14ac:dyDescent="0.3">
      <c r="A75" s="1576"/>
      <c r="B75" s="1682"/>
      <c r="C75" s="1682"/>
      <c r="D75" s="1576"/>
      <c r="E75" s="1577">
        <f>E49</f>
        <v>89.9</v>
      </c>
      <c r="F75" s="1576"/>
      <c r="G75" s="1576"/>
      <c r="H75" s="1576"/>
      <c r="I75" s="1576"/>
      <c r="J75" s="1576"/>
      <c r="K75" s="1577">
        <f>K49</f>
        <v>88.6</v>
      </c>
      <c r="L75" s="1576"/>
      <c r="M75" s="1577">
        <f>M49</f>
        <v>95.1</v>
      </c>
      <c r="N75" s="1576"/>
      <c r="O75" s="1577">
        <f>O49</f>
        <v>93.5</v>
      </c>
      <c r="P75" s="1576"/>
      <c r="Q75" s="1576"/>
      <c r="R75" s="1576"/>
      <c r="S75" s="1576"/>
      <c r="T75" s="1682"/>
      <c r="U75" s="1690"/>
      <c r="V75" s="1576"/>
      <c r="W75" s="1576"/>
      <c r="X75" s="1578"/>
      <c r="Y75" s="1577">
        <f>Y49</f>
        <v>92</v>
      </c>
      <c r="Z75" s="1576"/>
      <c r="AA75" s="1576"/>
      <c r="AB75" s="1576"/>
      <c r="AC75" s="1576"/>
      <c r="AD75" s="1576"/>
      <c r="AE75" s="1576"/>
      <c r="AF75" s="1576"/>
      <c r="AG75" s="1577">
        <f>AG49</f>
        <v>94.7</v>
      </c>
      <c r="AH75" s="1576"/>
      <c r="AI75" s="1578"/>
      <c r="AJ75" s="1577">
        <f>AJ49</f>
        <v>94.5</v>
      </c>
      <c r="AK75" s="1576"/>
      <c r="AL75" s="1576"/>
      <c r="AM75" s="1576"/>
      <c r="AN75" s="1577">
        <f>AN49</f>
        <v>94.9</v>
      </c>
      <c r="AO75" s="1576"/>
      <c r="AP75" s="1576"/>
      <c r="AQ75" s="1576"/>
      <c r="AR75" s="1576"/>
      <c r="AS75" s="1576"/>
      <c r="AT75" s="1579"/>
      <c r="AU75" s="1576"/>
      <c r="AV75" s="1576"/>
      <c r="AW75" s="1576"/>
      <c r="AX75" s="1577">
        <f>AX49</f>
        <v>88.2</v>
      </c>
      <c r="AY75" s="1576"/>
      <c r="AZ75" s="1577">
        <f>AZ49</f>
        <v>88.1</v>
      </c>
      <c r="BA75" s="1576"/>
      <c r="BB75" s="1576"/>
      <c r="BC75" s="1576"/>
      <c r="BD75" s="1576"/>
      <c r="BE75" s="1577">
        <f>BE49</f>
        <v>89.1</v>
      </c>
      <c r="BF75" s="1576"/>
      <c r="BG75" s="1577">
        <f>BG49</f>
        <v>89.3</v>
      </c>
      <c r="BH75" s="1577"/>
      <c r="BI75" s="1577"/>
      <c r="BJ75" s="1576"/>
      <c r="BK75" s="1576"/>
      <c r="BL75" s="1576"/>
      <c r="BM75" s="1576"/>
      <c r="BN75" s="1576"/>
      <c r="BO75" s="1576"/>
      <c r="BP75" s="1576"/>
      <c r="BQ75" s="1576"/>
      <c r="BR75" s="1576"/>
      <c r="BS75" s="1576"/>
      <c r="BT75" s="1576"/>
      <c r="BU75" s="1576"/>
      <c r="BV75" s="1576"/>
      <c r="BW75" s="1576"/>
      <c r="BX75" s="1576"/>
      <c r="BY75" s="1576"/>
    </row>
    <row r="76" spans="1:77" ht="16.5" customHeight="1" x14ac:dyDescent="0.3">
      <c r="A76" s="1576"/>
      <c r="B76" s="1682"/>
      <c r="C76" s="1683"/>
      <c r="D76" s="1580">
        <f>SUBTOTAL(9,D11:D47)</f>
        <v>611556</v>
      </c>
      <c r="E76" s="1581" t="e">
        <f>ROUND(D76/$C76*100,1)</f>
        <v>#DIV/0!</v>
      </c>
      <c r="F76" s="1582">
        <f>SUBTOTAL(9,F11:F47)</f>
        <v>548044</v>
      </c>
      <c r="G76" s="1581" t="e">
        <f>ROUND(F76/$C76*100,1)</f>
        <v>#DIV/0!</v>
      </c>
      <c r="H76" s="1582">
        <f>SUBTOTAL(9,H11:H47)</f>
        <v>54864</v>
      </c>
      <c r="I76" s="1581" t="e">
        <f>ROUND(H76/$C76*100,1)</f>
        <v>#DIV/0!</v>
      </c>
      <c r="J76" s="1582">
        <f>SUBTOTAL(9,J11:J47)</f>
        <v>602908</v>
      </c>
      <c r="K76" s="1581" t="e">
        <f>ROUND(J76/$C76*100,1)</f>
        <v>#DIV/0!</v>
      </c>
      <c r="L76" s="1582">
        <f>SUBTOTAL(9,L11:L47)</f>
        <v>647017</v>
      </c>
      <c r="M76" s="1581" t="e">
        <f>ROUND(L76/$C76*100,1)</f>
        <v>#DIV/0!</v>
      </c>
      <c r="N76" s="1582">
        <f>SUBTOTAL(9,N11:N47)</f>
        <v>635634</v>
      </c>
      <c r="O76" s="1581" t="e">
        <f>ROUND(N76/$C76*100,1)</f>
        <v>#DIV/0!</v>
      </c>
      <c r="P76" s="1582">
        <f>SUBTOTAL(9,P11:P47)</f>
        <v>647207</v>
      </c>
      <c r="Q76" s="1581" t="e">
        <f>ROUND(P76/$C76*100,1)</f>
        <v>#DIV/0!</v>
      </c>
      <c r="R76" s="1582">
        <f>SUBTOTAL(9,R11:R47)</f>
        <v>641459</v>
      </c>
      <c r="S76" s="1581" t="e">
        <f>ROUND(R76/$C76*100,1)</f>
        <v>#DIV/0!</v>
      </c>
      <c r="T76" s="1691"/>
      <c r="U76" s="1692"/>
      <c r="V76" s="1582">
        <f>SUBTOTAL(9,V11:V47)</f>
        <v>628139</v>
      </c>
      <c r="W76" s="1581" t="e">
        <f t="shared" ref="W76" si="32">ROUND(V76/C76*100,1)</f>
        <v>#DIV/0!</v>
      </c>
      <c r="X76" s="1582">
        <f>SUBTOTAL(9,X11:X47)</f>
        <v>625389</v>
      </c>
      <c r="Y76" s="1581" t="e">
        <f>ROUND(X76/$C76*100,1)</f>
        <v>#DIV/0!</v>
      </c>
      <c r="Z76" s="1582">
        <f>SUBTOTAL(9,Z11:Z47)</f>
        <v>555450</v>
      </c>
      <c r="AA76" s="1581" t="e">
        <f>ROUND(Z76/($C76/12*9)*100,1)</f>
        <v>#DIV/0!</v>
      </c>
      <c r="AB76" s="1582">
        <f>SUBTOTAL(9,AB11:AB47)</f>
        <v>423301</v>
      </c>
      <c r="AC76" s="1581" t="e">
        <f>ROUND(AB76/($C76/12*9)*100,1)</f>
        <v>#DIV/0!</v>
      </c>
      <c r="AD76" s="1582">
        <f>SUBTOTAL(9,AD11:AD47)</f>
        <v>653988</v>
      </c>
      <c r="AE76" s="1581" t="e">
        <f>ROUND(AD76/$C76*100,1)</f>
        <v>#DIV/0!</v>
      </c>
      <c r="AF76" s="1582">
        <f>SUBTOTAL(9,AF11:AF47)</f>
        <v>644312</v>
      </c>
      <c r="AG76" s="1581" t="e">
        <f>ROUND(AF76/$C76*100,1)</f>
        <v>#DIV/0!</v>
      </c>
      <c r="AH76" s="1582">
        <f>SUBTOTAL(9,AH11:AH47)</f>
        <v>702452</v>
      </c>
      <c r="AI76" s="1582">
        <f>SUBTOTAL(9,AI11:AI47)</f>
        <v>663997</v>
      </c>
      <c r="AJ76" s="1581">
        <f>ROUND(AI76/$AH76*100,1)</f>
        <v>94.5</v>
      </c>
      <c r="AK76" s="1582">
        <f>SUBTOTAL(9,AK11:AK47)</f>
        <v>651101</v>
      </c>
      <c r="AL76" s="1581">
        <f>ROUND(AK76/$AH76*100,1)</f>
        <v>92.7</v>
      </c>
      <c r="AM76" s="1582">
        <f>SUBTOTAL(9,AM11:AM47)</f>
        <v>666520</v>
      </c>
      <c r="AN76" s="1581">
        <f>ROUND(AM76/$AH76*100,1)</f>
        <v>94.9</v>
      </c>
      <c r="AO76" s="1582">
        <f>SUBTOTAL(9,AO11:AO47)</f>
        <v>631253</v>
      </c>
      <c r="AP76" s="1581">
        <f>ROUND(AO76/$AH76*100,1)</f>
        <v>89.9</v>
      </c>
      <c r="AQ76" s="1582">
        <f>SUBTOTAL(9,AQ11:AQ47)</f>
        <v>652004</v>
      </c>
      <c r="AR76" s="1581">
        <f>ROUND(AQ76/$AH76*100,1)</f>
        <v>92.8</v>
      </c>
      <c r="AS76" s="1582">
        <f>SUBTOTAL(9,AS11:AS47)</f>
        <v>11050</v>
      </c>
      <c r="AT76" s="1581">
        <f>AS76/AH76*100</f>
        <v>1.5730612198413558</v>
      </c>
      <c r="AU76" s="1582">
        <f>SUBTOTAL(9,AU11:AU47)</f>
        <v>10481</v>
      </c>
      <c r="AV76" s="1582">
        <f>SUBTOTAL(9,AV11:AV47)</f>
        <v>26419</v>
      </c>
      <c r="AW76" s="1582">
        <f>SUBTOTAL(9,AW11:AW47)</f>
        <v>619621</v>
      </c>
      <c r="AX76" s="1581">
        <f>ROUND(AW76/$AH76*100,1)</f>
        <v>88.2</v>
      </c>
      <c r="AY76" s="1582">
        <f>SUBTOTAL(9,AY11:AY47)</f>
        <v>619043</v>
      </c>
      <c r="AZ76" s="1581">
        <f>ROUND(AY76/$AH76*100,1)</f>
        <v>88.1</v>
      </c>
      <c r="BA76" s="1582">
        <f>SUBTOTAL(9,BA11:BA47)</f>
        <v>746063</v>
      </c>
      <c r="BB76" s="1582">
        <f>SUBTOTAL(9,BB11:BB47)</f>
        <v>665503</v>
      </c>
      <c r="BC76" s="1583">
        <f>ROUND(BB76/$BA76*100,1)</f>
        <v>89.2</v>
      </c>
      <c r="BD76" s="1582">
        <f>SUBTOTAL(9,BD11:BD47)</f>
        <v>664985</v>
      </c>
      <c r="BE76" s="1583">
        <f>ROUND(BD76/$BA76*100,1)</f>
        <v>89.1</v>
      </c>
      <c r="BF76" s="1582">
        <f>SUBTOTAL(9,BF11:BF47)</f>
        <v>666362</v>
      </c>
      <c r="BG76" s="1583">
        <f>ROUND(BF76/$BA76*100,1)</f>
        <v>89.3</v>
      </c>
      <c r="BH76" s="1583"/>
      <c r="BI76" s="1583"/>
      <c r="BJ76" s="1582">
        <f>SUBTOTAL(9,BJ11:BJ47)</f>
        <v>430176</v>
      </c>
      <c r="BK76" s="1582">
        <f>SUBTOTAL(9,BK11:BK47)</f>
        <v>410927</v>
      </c>
      <c r="BL76" s="1582"/>
      <c r="BM76" s="1582"/>
      <c r="BN76" s="1582"/>
      <c r="BO76" s="1582">
        <f>SUBTOTAL(9,BO11:BO47)</f>
        <v>478617</v>
      </c>
      <c r="BP76" s="1582"/>
      <c r="BQ76" s="1582">
        <f>SUBTOTAL(9,BQ11:BQ47)</f>
        <v>527558</v>
      </c>
      <c r="BR76" s="1584" t="e">
        <f>ROUND(BQ76/C76*100,1)</f>
        <v>#DIV/0!</v>
      </c>
      <c r="BS76" s="1584"/>
      <c r="BT76" s="1582">
        <f>SUBTOTAL(9,BT11:BT47)</f>
        <v>126299</v>
      </c>
      <c r="BU76" s="1582"/>
      <c r="BV76" s="1582">
        <f>SUBTOTAL(9,BV11:BV47)</f>
        <v>40997</v>
      </c>
      <c r="BW76" s="1582"/>
      <c r="BX76" s="1582"/>
      <c r="BY76" s="1585"/>
    </row>
    <row r="77" spans="1:77" ht="18" customHeight="1" x14ac:dyDescent="0.3">
      <c r="A77" s="1576"/>
      <c r="B77" s="1685"/>
      <c r="C77" s="1684"/>
      <c r="D77" s="1576"/>
      <c r="E77" s="1576"/>
      <c r="F77" s="1576"/>
      <c r="G77" s="1576"/>
      <c r="H77" s="1576"/>
      <c r="I77" s="1576"/>
      <c r="J77" s="1576"/>
      <c r="K77" s="1576"/>
      <c r="L77" s="1576"/>
      <c r="M77" s="1576"/>
      <c r="N77" s="1576"/>
      <c r="O77" s="1576"/>
      <c r="P77" s="1576"/>
      <c r="Q77" s="1576"/>
      <c r="R77" s="1576"/>
      <c r="S77" s="1576"/>
      <c r="T77" s="1684"/>
      <c r="U77" s="1693"/>
      <c r="V77" s="1576"/>
      <c r="W77" s="1576"/>
      <c r="X77" s="1576"/>
      <c r="Y77" s="1576"/>
      <c r="Z77" s="1576"/>
      <c r="AA77" s="1576"/>
      <c r="AB77" s="1576"/>
      <c r="AC77" s="1576"/>
      <c r="AD77" s="1576"/>
      <c r="AE77" s="1576"/>
      <c r="AF77" s="1576"/>
      <c r="AG77" s="1576"/>
      <c r="AH77" s="1576">
        <f>SUBTOTAL(9,AH11:AH47)</f>
        <v>702452</v>
      </c>
      <c r="AI77" s="1576">
        <f>SUBTOTAL(9,AI11:AI47)</f>
        <v>663997</v>
      </c>
      <c r="AJ77" s="1586">
        <f>ROUND(AI77/$AH77*100,1)</f>
        <v>94.5</v>
      </c>
      <c r="AK77" s="1586"/>
      <c r="AL77" s="1586"/>
      <c r="AM77" s="1576"/>
      <c r="AN77" s="1576"/>
      <c r="AO77" s="1576"/>
      <c r="AP77" s="1576"/>
      <c r="AQ77" s="1576"/>
      <c r="AR77" s="1576"/>
      <c r="AS77" s="1576"/>
      <c r="AT77" s="1576"/>
      <c r="AU77" s="1576"/>
      <c r="AV77" s="1576"/>
      <c r="AW77" s="1576"/>
      <c r="AX77" s="1576"/>
      <c r="AY77" s="1576"/>
      <c r="AZ77" s="1576"/>
      <c r="BA77" s="1576"/>
      <c r="BB77" s="1576"/>
      <c r="BC77" s="1576"/>
      <c r="BD77" s="1576"/>
      <c r="BE77" s="1576"/>
      <c r="BF77" s="1576"/>
      <c r="BG77" s="1576"/>
      <c r="BH77" s="1576"/>
      <c r="BI77" s="1576"/>
      <c r="BJ77" s="1576"/>
      <c r="BK77" s="1576"/>
      <c r="BL77" s="1576"/>
      <c r="BM77" s="1576"/>
      <c r="BN77" s="1576"/>
      <c r="BO77" s="1576"/>
      <c r="BP77" s="1576"/>
      <c r="BQ77" s="1576"/>
      <c r="BR77" s="1576"/>
      <c r="BS77" s="1576"/>
      <c r="BT77" s="1576"/>
      <c r="BU77" s="1576"/>
      <c r="BV77" s="1576"/>
      <c r="BW77" s="1576"/>
      <c r="BX77" s="1576"/>
      <c r="BY77" s="1576"/>
    </row>
    <row r="78" spans="1:77" x14ac:dyDescent="0.3">
      <c r="B78" s="1686"/>
      <c r="C78" s="1687"/>
      <c r="T78" s="1680"/>
      <c r="U78" s="1694"/>
      <c r="X78" s="1544" t="s">
        <v>514</v>
      </c>
    </row>
    <row r="79" spans="1:77" x14ac:dyDescent="0.3">
      <c r="B79" s="1686"/>
      <c r="C79" s="1687"/>
      <c r="J79" s="1545" t="s">
        <v>353</v>
      </c>
      <c r="K79" s="1556">
        <f>P58</f>
        <v>89.9</v>
      </c>
      <c r="T79" s="1680"/>
      <c r="U79" s="1694"/>
    </row>
    <row r="80" spans="1:77" ht="27" x14ac:dyDescent="0.3">
      <c r="B80" s="1686"/>
      <c r="C80" s="1687"/>
      <c r="J80" s="1555" t="s">
        <v>505</v>
      </c>
      <c r="K80" s="1556">
        <f>P61</f>
        <v>93.5</v>
      </c>
      <c r="T80" s="1680"/>
      <c r="U80" s="1694"/>
    </row>
    <row r="81" spans="2:21" x14ac:dyDescent="0.3">
      <c r="B81" s="1686"/>
      <c r="C81" s="1687"/>
      <c r="J81" s="1557" t="s">
        <v>506</v>
      </c>
      <c r="K81" s="1556">
        <f>P62</f>
        <v>93.5</v>
      </c>
      <c r="T81" s="1680"/>
      <c r="U81" s="1694"/>
    </row>
    <row r="82" spans="2:21" ht="45" x14ac:dyDescent="0.3">
      <c r="B82" s="1686"/>
      <c r="C82" s="1687"/>
      <c r="J82" s="1558" t="s">
        <v>507</v>
      </c>
      <c r="K82" s="1587">
        <f>P63</f>
        <v>92</v>
      </c>
      <c r="T82" s="1680"/>
      <c r="U82" s="1694"/>
    </row>
    <row r="83" spans="2:21" x14ac:dyDescent="0.3">
      <c r="B83" s="1680"/>
      <c r="C83" s="1688"/>
      <c r="J83" s="1565" t="s">
        <v>456</v>
      </c>
      <c r="K83" s="1556">
        <f>P65</f>
        <v>94.7</v>
      </c>
      <c r="T83" s="1688"/>
      <c r="U83" s="1694"/>
    </row>
    <row r="84" spans="2:21" x14ac:dyDescent="0.3">
      <c r="B84" s="1685"/>
      <c r="C84" s="1680"/>
      <c r="J84" s="1566" t="s">
        <v>509</v>
      </c>
      <c r="K84" s="1556">
        <f>P66</f>
        <v>94.5</v>
      </c>
      <c r="T84" s="1680"/>
      <c r="U84" s="1680"/>
    </row>
    <row r="85" spans="2:21" x14ac:dyDescent="0.3">
      <c r="B85" s="1686"/>
      <c r="C85" s="1687"/>
      <c r="J85" s="1571" t="s">
        <v>460</v>
      </c>
      <c r="K85" s="1556">
        <f>P71</f>
        <v>89.3</v>
      </c>
      <c r="T85" s="1695"/>
      <c r="U85" s="1694"/>
    </row>
    <row r="86" spans="2:21" x14ac:dyDescent="0.3">
      <c r="B86" s="1686"/>
      <c r="C86" s="1687"/>
      <c r="J86" s="1573" t="s">
        <v>477</v>
      </c>
      <c r="K86" s="1556">
        <f>P73</f>
        <v>95</v>
      </c>
      <c r="T86" s="1695"/>
      <c r="U86" s="1694"/>
    </row>
    <row r="87" spans="2:21" x14ac:dyDescent="0.3">
      <c r="B87" s="1686"/>
      <c r="C87" s="1687"/>
      <c r="T87" s="1695"/>
      <c r="U87" s="1694"/>
    </row>
    <row r="88" spans="2:21" x14ac:dyDescent="0.3">
      <c r="B88" s="1686"/>
      <c r="C88" s="1687"/>
      <c r="T88" s="1695"/>
      <c r="U88" s="1694"/>
    </row>
    <row r="89" spans="2:21" x14ac:dyDescent="0.3">
      <c r="B89" s="1680"/>
      <c r="C89" s="1689"/>
      <c r="T89" s="1688"/>
      <c r="U89" s="1694"/>
    </row>
    <row r="90" spans="2:21" x14ac:dyDescent="0.3">
      <c r="B90" s="1680"/>
      <c r="C90" s="1680"/>
      <c r="T90" s="1680"/>
      <c r="U90" s="1680"/>
    </row>
    <row r="91" spans="2:21" x14ac:dyDescent="0.3">
      <c r="B91" s="1685"/>
      <c r="C91" s="1680"/>
      <c r="T91" s="1680"/>
      <c r="U91" s="1680"/>
    </row>
    <row r="92" spans="2:21" x14ac:dyDescent="0.3">
      <c r="B92" s="1686"/>
      <c r="C92" s="1687"/>
      <c r="T92" s="1687"/>
      <c r="U92" s="1694"/>
    </row>
    <row r="93" spans="2:21" x14ac:dyDescent="0.3">
      <c r="B93" s="1686"/>
      <c r="C93" s="1687"/>
      <c r="T93" s="1687"/>
      <c r="U93" s="1694"/>
    </row>
    <row r="94" spans="2:21" x14ac:dyDescent="0.3">
      <c r="B94" s="1686"/>
      <c r="C94" s="1687"/>
      <c r="T94" s="1687"/>
      <c r="U94" s="1694"/>
    </row>
    <row r="95" spans="2:21" x14ac:dyDescent="0.3">
      <c r="B95" s="1686"/>
      <c r="C95" s="1687"/>
      <c r="T95" s="1687"/>
      <c r="U95" s="1694"/>
    </row>
    <row r="96" spans="2:21" x14ac:dyDescent="0.3">
      <c r="B96" s="1686"/>
      <c r="C96" s="1687"/>
      <c r="T96" s="1687"/>
      <c r="U96" s="1694"/>
    </row>
    <row r="97" spans="2:21" x14ac:dyDescent="0.3">
      <c r="B97" s="1686"/>
      <c r="C97" s="1687"/>
      <c r="T97" s="1687"/>
      <c r="U97" s="1694"/>
    </row>
    <row r="98" spans="2:21" x14ac:dyDescent="0.3">
      <c r="B98" s="1680"/>
      <c r="C98" s="1688"/>
      <c r="T98" s="1688"/>
      <c r="U98" s="1696"/>
    </row>
    <row r="99" spans="2:21" x14ac:dyDescent="0.3">
      <c r="T99" s="1680"/>
      <c r="U99" s="1680"/>
    </row>
    <row r="100" spans="2:21" x14ac:dyDescent="0.3">
      <c r="T100" s="1680"/>
      <c r="U100" s="1680"/>
    </row>
  </sheetData>
  <mergeCells count="31">
    <mergeCell ref="BS9:BW9"/>
    <mergeCell ref="BD9:BE9"/>
    <mergeCell ref="BF9:BG9"/>
    <mergeCell ref="BH9:BI9"/>
    <mergeCell ref="BM9:BN9"/>
    <mergeCell ref="BO9:BP9"/>
    <mergeCell ref="BQ9:BR9"/>
    <mergeCell ref="BB9:BC9"/>
    <mergeCell ref="AB9:AC9"/>
    <mergeCell ref="AD9:AE9"/>
    <mergeCell ref="AF9:AG9"/>
    <mergeCell ref="AI9:AJ9"/>
    <mergeCell ref="AK9:AL9"/>
    <mergeCell ref="AM9:AN9"/>
    <mergeCell ref="AO9:AP9"/>
    <mergeCell ref="AQ9:AR9"/>
    <mergeCell ref="AS9:AT9"/>
    <mergeCell ref="AW9:AX9"/>
    <mergeCell ref="AY9:AZ9"/>
    <mergeCell ref="Z9:AA9"/>
    <mergeCell ref="D9:E9"/>
    <mergeCell ref="F9:G9"/>
    <mergeCell ref="H9:I9"/>
    <mergeCell ref="J9:K9"/>
    <mergeCell ref="L9:M9"/>
    <mergeCell ref="N9:O9"/>
    <mergeCell ref="P9:Q9"/>
    <mergeCell ref="R9:S9"/>
    <mergeCell ref="T9:U9"/>
    <mergeCell ref="V9:W9"/>
    <mergeCell ref="X9:Y9"/>
  </mergeCells>
  <conditionalFormatting sqref="E76 G76 I76">
    <cfRule type="cellIs" dxfId="203" priority="193" stopIfTrue="1" operator="between">
      <formula>$C$59</formula>
      <formula>$D$59</formula>
    </cfRule>
    <cfRule type="cellIs" dxfId="202" priority="194" stopIfTrue="1" operator="between">
      <formula>$C$58</formula>
      <formula>$D$58</formula>
    </cfRule>
    <cfRule type="cellIs" dxfId="201" priority="195" stopIfTrue="1" operator="between">
      <formula>$C$57</formula>
      <formula>$D$57</formula>
    </cfRule>
    <cfRule type="cellIs" dxfId="200" priority="196" stopIfTrue="1" operator="between">
      <formula>$C$56</formula>
      <formula>$D$56</formula>
    </cfRule>
    <cfRule type="cellIs" dxfId="199" priority="197" stopIfTrue="1" operator="between">
      <formula>$C$55</formula>
      <formula>$D$55</formula>
    </cfRule>
    <cfRule type="cellIs" dxfId="198" priority="198" stopIfTrue="1" operator="greaterThan">
      <formula>$C$54</formula>
    </cfRule>
  </conditionalFormatting>
  <conditionalFormatting sqref="K76">
    <cfRule type="cellIs" dxfId="197" priority="187" stopIfTrue="1" operator="between">
      <formula>$C$59</formula>
      <formula>$D$59</formula>
    </cfRule>
    <cfRule type="cellIs" dxfId="196" priority="188" stopIfTrue="1" operator="between">
      <formula>$C$58</formula>
      <formula>$D$58</formula>
    </cfRule>
    <cfRule type="cellIs" dxfId="195" priority="189" stopIfTrue="1" operator="between">
      <formula>$C$57</formula>
      <formula>$D$57</formula>
    </cfRule>
    <cfRule type="cellIs" dxfId="194" priority="190" stopIfTrue="1" operator="between">
      <formula>$C$56</formula>
      <formula>$D$56</formula>
    </cfRule>
    <cfRule type="cellIs" dxfId="193" priority="191" stopIfTrue="1" operator="between">
      <formula>$C$55</formula>
      <formula>$D$55</formula>
    </cfRule>
    <cfRule type="cellIs" dxfId="192" priority="192" stopIfTrue="1" operator="greaterThan">
      <formula>$C$54</formula>
    </cfRule>
  </conditionalFormatting>
  <conditionalFormatting sqref="M76">
    <cfRule type="cellIs" dxfId="191" priority="181" stopIfTrue="1" operator="between">
      <formula>$C$59</formula>
      <formula>$D$59</formula>
    </cfRule>
    <cfRule type="cellIs" dxfId="190" priority="182" stopIfTrue="1" operator="between">
      <formula>$C$58</formula>
      <formula>$D$58</formula>
    </cfRule>
    <cfRule type="cellIs" dxfId="189" priority="183" stopIfTrue="1" operator="between">
      <formula>$C$57</formula>
      <formula>$D$57</formula>
    </cfRule>
    <cfRule type="cellIs" dxfId="188" priority="184" stopIfTrue="1" operator="between">
      <formula>$C$56</formula>
      <formula>$D$56</formula>
    </cfRule>
    <cfRule type="cellIs" dxfId="187" priority="185" stopIfTrue="1" operator="between">
      <formula>$C$55</formula>
      <formula>$D$55</formula>
    </cfRule>
    <cfRule type="cellIs" dxfId="186" priority="186" stopIfTrue="1" operator="greaterThan">
      <formula>$C$54</formula>
    </cfRule>
  </conditionalFormatting>
  <conditionalFormatting sqref="O76">
    <cfRule type="cellIs" dxfId="185" priority="175" stopIfTrue="1" operator="between">
      <formula>$C$59</formula>
      <formula>$D$59</formula>
    </cfRule>
    <cfRule type="cellIs" dxfId="184" priority="176" stopIfTrue="1" operator="between">
      <formula>$C$58</formula>
      <formula>$D$58</formula>
    </cfRule>
    <cfRule type="cellIs" dxfId="183" priority="177" stopIfTrue="1" operator="between">
      <formula>$C$57</formula>
      <formula>$D$57</formula>
    </cfRule>
    <cfRule type="cellIs" dxfId="182" priority="178" stopIfTrue="1" operator="between">
      <formula>$C$56</formula>
      <formula>$D$56</formula>
    </cfRule>
    <cfRule type="cellIs" dxfId="181" priority="179" stopIfTrue="1" operator="between">
      <formula>$C$55</formula>
      <formula>$D$55</formula>
    </cfRule>
    <cfRule type="cellIs" dxfId="180" priority="180" stopIfTrue="1" operator="greaterThan">
      <formula>$C$54</formula>
    </cfRule>
  </conditionalFormatting>
  <conditionalFormatting sqref="Q76">
    <cfRule type="cellIs" dxfId="179" priority="169" stopIfTrue="1" operator="between">
      <formula>$C$59</formula>
      <formula>$D$59</formula>
    </cfRule>
    <cfRule type="cellIs" dxfId="178" priority="170" stopIfTrue="1" operator="between">
      <formula>$C$58</formula>
      <formula>$D$58</formula>
    </cfRule>
    <cfRule type="cellIs" dxfId="177" priority="171" stopIfTrue="1" operator="between">
      <formula>$C$57</formula>
      <formula>$D$57</formula>
    </cfRule>
    <cfRule type="cellIs" dxfId="176" priority="172" stopIfTrue="1" operator="between">
      <formula>$C$56</formula>
      <formula>$D$56</formula>
    </cfRule>
    <cfRule type="cellIs" dxfId="175" priority="173" stopIfTrue="1" operator="between">
      <formula>$C$55</formula>
      <formula>$D$55</formula>
    </cfRule>
    <cfRule type="cellIs" dxfId="174" priority="174" stopIfTrue="1" operator="greaterThan">
      <formula>$C$54</formula>
    </cfRule>
  </conditionalFormatting>
  <conditionalFormatting sqref="S76">
    <cfRule type="cellIs" dxfId="173" priority="163" stopIfTrue="1" operator="between">
      <formula>$C$59</formula>
      <formula>$D$59</formula>
    </cfRule>
    <cfRule type="cellIs" dxfId="172" priority="164" stopIfTrue="1" operator="between">
      <formula>$C$58</formula>
      <formula>$D$58</formula>
    </cfRule>
    <cfRule type="cellIs" dxfId="171" priority="165" stopIfTrue="1" operator="between">
      <formula>$C$57</formula>
      <formula>$D$57</formula>
    </cfRule>
    <cfRule type="cellIs" dxfId="170" priority="166" stopIfTrue="1" operator="between">
      <formula>$C$56</formula>
      <formula>$D$56</formula>
    </cfRule>
    <cfRule type="cellIs" dxfId="169" priority="167" stopIfTrue="1" operator="between">
      <formula>$C$55</formula>
      <formula>$D$55</formula>
    </cfRule>
    <cfRule type="cellIs" dxfId="168" priority="168" stopIfTrue="1" operator="greaterThan">
      <formula>$C$54</formula>
    </cfRule>
  </conditionalFormatting>
  <conditionalFormatting sqref="U76">
    <cfRule type="cellIs" dxfId="167" priority="157" stopIfTrue="1" operator="between">
      <formula>$C$59</formula>
      <formula>$D$59</formula>
    </cfRule>
    <cfRule type="cellIs" dxfId="166" priority="158" stopIfTrue="1" operator="between">
      <formula>$C$58</formula>
      <formula>$D$58</formula>
    </cfRule>
    <cfRule type="cellIs" dxfId="165" priority="159" stopIfTrue="1" operator="between">
      <formula>$C$57</formula>
      <formula>$D$57</formula>
    </cfRule>
    <cfRule type="cellIs" dxfId="164" priority="160" stopIfTrue="1" operator="between">
      <formula>$C$56</formula>
      <formula>$D$56</formula>
    </cfRule>
    <cfRule type="cellIs" dxfId="163" priority="161" stopIfTrue="1" operator="between">
      <formula>$C$55</formula>
      <formula>$D$55</formula>
    </cfRule>
    <cfRule type="cellIs" dxfId="162" priority="162" stopIfTrue="1" operator="greaterThan">
      <formula>$C$54</formula>
    </cfRule>
  </conditionalFormatting>
  <conditionalFormatting sqref="W76">
    <cfRule type="cellIs" dxfId="161" priority="151" stopIfTrue="1" operator="between">
      <formula>$C$59</formula>
      <formula>$D$59</formula>
    </cfRule>
    <cfRule type="cellIs" dxfId="160" priority="152" stopIfTrue="1" operator="between">
      <formula>$C$58</formula>
      <formula>$D$58</formula>
    </cfRule>
    <cfRule type="cellIs" dxfId="159" priority="153" stopIfTrue="1" operator="between">
      <formula>$C$57</formula>
      <formula>$D$57</formula>
    </cfRule>
    <cfRule type="cellIs" dxfId="158" priority="154" stopIfTrue="1" operator="between">
      <formula>$C$56</formula>
      <formula>$D$56</formula>
    </cfRule>
    <cfRule type="cellIs" dxfId="157" priority="155" stopIfTrue="1" operator="between">
      <formula>$C$55</formula>
      <formula>$D$55</formula>
    </cfRule>
    <cfRule type="cellIs" dxfId="156" priority="156" stopIfTrue="1" operator="greaterThan">
      <formula>$C$54</formula>
    </cfRule>
  </conditionalFormatting>
  <conditionalFormatting sqref="Y76">
    <cfRule type="cellIs" dxfId="155" priority="145" stopIfTrue="1" operator="between">
      <formula>$C$59</formula>
      <formula>$D$59</formula>
    </cfRule>
    <cfRule type="cellIs" dxfId="154" priority="146" stopIfTrue="1" operator="between">
      <formula>$C$58</formula>
      <formula>$D$58</formula>
    </cfRule>
    <cfRule type="cellIs" dxfId="153" priority="147" stopIfTrue="1" operator="between">
      <formula>$C$57</formula>
      <formula>$D$57</formula>
    </cfRule>
    <cfRule type="cellIs" dxfId="152" priority="148" stopIfTrue="1" operator="between">
      <formula>$C$56</formula>
      <formula>$D$56</formula>
    </cfRule>
    <cfRule type="cellIs" dxfId="151" priority="149" stopIfTrue="1" operator="between">
      <formula>$C$55</formula>
      <formula>$D$55</formula>
    </cfRule>
    <cfRule type="cellIs" dxfId="150" priority="150" stopIfTrue="1" operator="greaterThan">
      <formula>$C$54</formula>
    </cfRule>
  </conditionalFormatting>
  <conditionalFormatting sqref="AA76">
    <cfRule type="cellIs" dxfId="149" priority="139" stopIfTrue="1" operator="between">
      <formula>$C$59</formula>
      <formula>$D$59</formula>
    </cfRule>
    <cfRule type="cellIs" dxfId="148" priority="140" stopIfTrue="1" operator="between">
      <formula>$C$58</formula>
      <formula>$D$58</formula>
    </cfRule>
    <cfRule type="cellIs" dxfId="147" priority="141" stopIfTrue="1" operator="between">
      <formula>$C$57</formula>
      <formula>$D$57</formula>
    </cfRule>
    <cfRule type="cellIs" dxfId="146" priority="142" stopIfTrue="1" operator="between">
      <formula>$C$56</formula>
      <formula>$D$56</formula>
    </cfRule>
    <cfRule type="cellIs" dxfId="145" priority="143" stopIfTrue="1" operator="between">
      <formula>$C$55</formula>
      <formula>$D$55</formula>
    </cfRule>
    <cfRule type="cellIs" dxfId="144" priority="144" stopIfTrue="1" operator="greaterThan">
      <formula>$C$54</formula>
    </cfRule>
  </conditionalFormatting>
  <conditionalFormatting sqref="AC76">
    <cfRule type="cellIs" dxfId="143" priority="133" stopIfTrue="1" operator="between">
      <formula>$C$59</formula>
      <formula>$D$59</formula>
    </cfRule>
    <cfRule type="cellIs" dxfId="142" priority="134" stopIfTrue="1" operator="between">
      <formula>$C$58</formula>
      <formula>$D$58</formula>
    </cfRule>
    <cfRule type="cellIs" dxfId="141" priority="135" stopIfTrue="1" operator="between">
      <formula>$C$57</formula>
      <formula>$D$57</formula>
    </cfRule>
    <cfRule type="cellIs" dxfId="140" priority="136" stopIfTrue="1" operator="between">
      <formula>$C$56</formula>
      <formula>$D$56</formula>
    </cfRule>
    <cfRule type="cellIs" dxfId="139" priority="137" stopIfTrue="1" operator="between">
      <formula>$C$55</formula>
      <formula>$D$55</formula>
    </cfRule>
    <cfRule type="cellIs" dxfId="138" priority="138" stopIfTrue="1" operator="greaterThan">
      <formula>$C$54</formula>
    </cfRule>
  </conditionalFormatting>
  <conditionalFormatting sqref="AE76">
    <cfRule type="cellIs" dxfId="137" priority="127" stopIfTrue="1" operator="between">
      <formula>$C$59</formula>
      <formula>$D$59</formula>
    </cfRule>
    <cfRule type="cellIs" dxfId="136" priority="128" stopIfTrue="1" operator="between">
      <formula>$C$58</formula>
      <formula>$D$58</formula>
    </cfRule>
    <cfRule type="cellIs" dxfId="135" priority="129" stopIfTrue="1" operator="between">
      <formula>$C$57</formula>
      <formula>$D$57</formula>
    </cfRule>
    <cfRule type="cellIs" dxfId="134" priority="130" stopIfTrue="1" operator="between">
      <formula>$C$56</formula>
      <formula>$D$56</formula>
    </cfRule>
    <cfRule type="cellIs" dxfId="133" priority="131" stopIfTrue="1" operator="between">
      <formula>$C$55</formula>
      <formula>$D$55</formula>
    </cfRule>
    <cfRule type="cellIs" dxfId="132" priority="132" stopIfTrue="1" operator="greaterThan">
      <formula>$C$54</formula>
    </cfRule>
  </conditionalFormatting>
  <conditionalFormatting sqref="AG76">
    <cfRule type="cellIs" dxfId="131" priority="121" stopIfTrue="1" operator="between">
      <formula>$C$59</formula>
      <formula>$D$59</formula>
    </cfRule>
    <cfRule type="cellIs" dxfId="130" priority="122" stopIfTrue="1" operator="between">
      <formula>$C$58</formula>
      <formula>$D$58</formula>
    </cfRule>
    <cfRule type="cellIs" dxfId="129" priority="123" stopIfTrue="1" operator="between">
      <formula>$C$57</formula>
      <formula>$D$57</formula>
    </cfRule>
    <cfRule type="cellIs" dxfId="128" priority="124" stopIfTrue="1" operator="between">
      <formula>$C$56</formula>
      <formula>$D$56</formula>
    </cfRule>
    <cfRule type="cellIs" dxfId="127" priority="125" stopIfTrue="1" operator="between">
      <formula>$C$55</formula>
      <formula>$D$55</formula>
    </cfRule>
    <cfRule type="cellIs" dxfId="126" priority="126" stopIfTrue="1" operator="greaterThan">
      <formula>$C$54</formula>
    </cfRule>
  </conditionalFormatting>
  <conditionalFormatting sqref="AJ76">
    <cfRule type="cellIs" dxfId="125" priority="115" stopIfTrue="1" operator="between">
      <formula>$C$59</formula>
      <formula>$D$59</formula>
    </cfRule>
    <cfRule type="cellIs" dxfId="124" priority="116" stopIfTrue="1" operator="between">
      <formula>$C$58</formula>
      <formula>$D$58</formula>
    </cfRule>
    <cfRule type="cellIs" dxfId="123" priority="117" stopIfTrue="1" operator="between">
      <formula>$C$57</formula>
      <formula>$D$57</formula>
    </cfRule>
    <cfRule type="cellIs" dxfId="122" priority="118" stopIfTrue="1" operator="between">
      <formula>$C$56</formula>
      <formula>$D$56</formula>
    </cfRule>
    <cfRule type="cellIs" dxfId="121" priority="119" stopIfTrue="1" operator="between">
      <formula>$C$55</formula>
      <formula>$D$55</formula>
    </cfRule>
    <cfRule type="cellIs" dxfId="120" priority="120" stopIfTrue="1" operator="greaterThan">
      <formula>$C$54</formula>
    </cfRule>
  </conditionalFormatting>
  <conditionalFormatting sqref="AL76">
    <cfRule type="cellIs" dxfId="119" priority="109" stopIfTrue="1" operator="between">
      <formula>$C$59</formula>
      <formula>$D$59</formula>
    </cfRule>
    <cfRule type="cellIs" dxfId="118" priority="110" stopIfTrue="1" operator="between">
      <formula>$C$58</formula>
      <formula>$D$58</formula>
    </cfRule>
    <cfRule type="cellIs" dxfId="117" priority="111" stopIfTrue="1" operator="between">
      <formula>$C$57</formula>
      <formula>$D$57</formula>
    </cfRule>
    <cfRule type="cellIs" dxfId="116" priority="112" stopIfTrue="1" operator="between">
      <formula>$C$56</formula>
      <formula>$D$56</formula>
    </cfRule>
    <cfRule type="cellIs" dxfId="115" priority="113" stopIfTrue="1" operator="between">
      <formula>$C$55</formula>
      <formula>$D$55</formula>
    </cfRule>
    <cfRule type="cellIs" dxfId="114" priority="114" stopIfTrue="1" operator="greaterThan">
      <formula>$C$54</formula>
    </cfRule>
  </conditionalFormatting>
  <conditionalFormatting sqref="AR76">
    <cfRule type="cellIs" dxfId="113" priority="103" stopIfTrue="1" operator="between">
      <formula>$C$59</formula>
      <formula>$D$59</formula>
    </cfRule>
    <cfRule type="cellIs" dxfId="112" priority="104" stopIfTrue="1" operator="between">
      <formula>$C$58</formula>
      <formula>$D$58</formula>
    </cfRule>
    <cfRule type="cellIs" dxfId="111" priority="105" stopIfTrue="1" operator="between">
      <formula>$C$57</formula>
      <formula>$D$57</formula>
    </cfRule>
    <cfRule type="cellIs" dxfId="110" priority="106" stopIfTrue="1" operator="between">
      <formula>$C$56</formula>
      <formula>$D$56</formula>
    </cfRule>
    <cfRule type="cellIs" dxfId="109" priority="107" stopIfTrue="1" operator="between">
      <formula>$C$55</formula>
      <formula>$D$55</formula>
    </cfRule>
    <cfRule type="cellIs" dxfId="108" priority="108" stopIfTrue="1" operator="greaterThan">
      <formula>$C$54</formula>
    </cfRule>
  </conditionalFormatting>
  <conditionalFormatting sqref="AN76">
    <cfRule type="cellIs" dxfId="107" priority="97" stopIfTrue="1" operator="between">
      <formula>$C$59</formula>
      <formula>$D$59</formula>
    </cfRule>
    <cfRule type="cellIs" dxfId="106" priority="98" stopIfTrue="1" operator="between">
      <formula>$C$58</formula>
      <formula>$D$58</formula>
    </cfRule>
    <cfRule type="cellIs" dxfId="105" priority="99" stopIfTrue="1" operator="between">
      <formula>$C$57</formula>
      <formula>$D$57</formula>
    </cfRule>
    <cfRule type="cellIs" dxfId="104" priority="100" stopIfTrue="1" operator="between">
      <formula>$C$56</formula>
      <formula>$D$56</formula>
    </cfRule>
    <cfRule type="cellIs" dxfId="103" priority="101" stopIfTrue="1" operator="between">
      <formula>$C$55</formula>
      <formula>$D$55</formula>
    </cfRule>
    <cfRule type="cellIs" dxfId="102" priority="102" stopIfTrue="1" operator="greaterThan">
      <formula>$C$54</formula>
    </cfRule>
  </conditionalFormatting>
  <conditionalFormatting sqref="AX76">
    <cfRule type="cellIs" dxfId="101" priority="91" stopIfTrue="1" operator="between">
      <formula>$C$59</formula>
      <formula>$D$59</formula>
    </cfRule>
    <cfRule type="cellIs" dxfId="100" priority="92" stopIfTrue="1" operator="between">
      <formula>$C$58</formula>
      <formula>$D$58</formula>
    </cfRule>
    <cfRule type="cellIs" dxfId="99" priority="93" stopIfTrue="1" operator="between">
      <formula>$C$57</formula>
      <formula>$D$57</formula>
    </cfRule>
    <cfRule type="cellIs" dxfId="98" priority="94" stopIfTrue="1" operator="between">
      <formula>$C$56</formula>
      <formula>$D$56</formula>
    </cfRule>
    <cfRule type="cellIs" dxfId="97" priority="95" stopIfTrue="1" operator="between">
      <formula>$C$55</formula>
      <formula>$D$55</formula>
    </cfRule>
    <cfRule type="cellIs" dxfId="96" priority="96" stopIfTrue="1" operator="greaterThan">
      <formula>$C$54</formula>
    </cfRule>
  </conditionalFormatting>
  <conditionalFormatting sqref="AZ76">
    <cfRule type="cellIs" dxfId="95" priority="85" stopIfTrue="1" operator="between">
      <formula>$C$59</formula>
      <formula>$D$59</formula>
    </cfRule>
    <cfRule type="cellIs" dxfId="94" priority="86" stopIfTrue="1" operator="between">
      <formula>$C$58</formula>
      <formula>$D$58</formula>
    </cfRule>
    <cfRule type="cellIs" dxfId="93" priority="87" stopIfTrue="1" operator="between">
      <formula>$C$57</formula>
      <formula>$D$57</formula>
    </cfRule>
    <cfRule type="cellIs" dxfId="92" priority="88" stopIfTrue="1" operator="between">
      <formula>$C$56</formula>
      <formula>$D$56</formula>
    </cfRule>
    <cfRule type="cellIs" dxfId="91" priority="89" stopIfTrue="1" operator="between">
      <formula>$C$55</formula>
      <formula>$D$55</formula>
    </cfRule>
    <cfRule type="cellIs" dxfId="90" priority="90" stopIfTrue="1" operator="greaterThan">
      <formula>$C$54</formula>
    </cfRule>
  </conditionalFormatting>
  <conditionalFormatting sqref="BC76">
    <cfRule type="cellIs" dxfId="89" priority="79" stopIfTrue="1" operator="between">
      <formula>$C$59</formula>
      <formula>$D$59</formula>
    </cfRule>
    <cfRule type="cellIs" dxfId="88" priority="80" stopIfTrue="1" operator="between">
      <formula>$C$58</formula>
      <formula>$D$58</formula>
    </cfRule>
    <cfRule type="cellIs" dxfId="87" priority="81" stopIfTrue="1" operator="between">
      <formula>$C$57</formula>
      <formula>$D$57</formula>
    </cfRule>
    <cfRule type="cellIs" dxfId="86" priority="82" stopIfTrue="1" operator="between">
      <formula>$C$56</formula>
      <formula>$D$56</formula>
    </cfRule>
    <cfRule type="cellIs" dxfId="85" priority="83" stopIfTrue="1" operator="between">
      <formula>$C$55</formula>
      <formula>$D$55</formula>
    </cfRule>
    <cfRule type="cellIs" dxfId="84" priority="84" stopIfTrue="1" operator="greaterThan">
      <formula>$C$54</formula>
    </cfRule>
  </conditionalFormatting>
  <conditionalFormatting sqref="BE76">
    <cfRule type="cellIs" dxfId="83" priority="73" stopIfTrue="1" operator="between">
      <formula>$C$59</formula>
      <formula>$D$59</formula>
    </cfRule>
    <cfRule type="cellIs" dxfId="82" priority="74" stopIfTrue="1" operator="between">
      <formula>$C$58</formula>
      <formula>$D$58</formula>
    </cfRule>
    <cfRule type="cellIs" dxfId="81" priority="75" stopIfTrue="1" operator="between">
      <formula>$C$57</formula>
      <formula>$D$57</formula>
    </cfRule>
    <cfRule type="cellIs" dxfId="80" priority="76" stopIfTrue="1" operator="between">
      <formula>$C$56</formula>
      <formula>$D$56</formula>
    </cfRule>
    <cfRule type="cellIs" dxfId="79" priority="77" stopIfTrue="1" operator="between">
      <formula>$C$55</formula>
      <formula>$D$55</formula>
    </cfRule>
    <cfRule type="cellIs" dxfId="78" priority="78" stopIfTrue="1" operator="greaterThan">
      <formula>$C$54</formula>
    </cfRule>
  </conditionalFormatting>
  <conditionalFormatting sqref="BG76:BI76">
    <cfRule type="cellIs" dxfId="77" priority="67" stopIfTrue="1" operator="between">
      <formula>$C$59</formula>
      <formula>$D$59</formula>
    </cfRule>
    <cfRule type="cellIs" dxfId="76" priority="68" stopIfTrue="1" operator="between">
      <formula>$C$58</formula>
      <formula>$D$58</formula>
    </cfRule>
    <cfRule type="cellIs" dxfId="75" priority="69" stopIfTrue="1" operator="between">
      <formula>$C$57</formula>
      <formula>$D$57</formula>
    </cfRule>
    <cfRule type="cellIs" dxfId="74" priority="70" stopIfTrue="1" operator="between">
      <formula>$C$56</formula>
      <formula>$D$56</formula>
    </cfRule>
    <cfRule type="cellIs" dxfId="73" priority="71" stopIfTrue="1" operator="between">
      <formula>$C$55</formula>
      <formula>$D$55</formula>
    </cfRule>
    <cfRule type="cellIs" dxfId="72" priority="72" stopIfTrue="1" operator="greaterThan">
      <formula>$C$54</formula>
    </cfRule>
  </conditionalFormatting>
  <conditionalFormatting sqref="G11:G47 G49 I49 M11:M47 O11:O47 Q11:Q47 S11:S47 U11:U47 W11:W47 Y11:Y47 AE11:AE47 AG11:AG47 AR11:AR47 AN11:AN47 AX11:AX47 AZ11:AZ47 BC11:BC47 BE11:BE47 AJ11:AJ47 AL11:AL47 AP11:AP47 E11:E47 E49 BG49 AL49 AJ49 BE49 BC49 AZ49 AX49 AN49 AR49 AG49 AE49 Y49 W49 U49 S49 Q49 O49 M49 K49 BG11:BG47 AA11:AA47 AA49 AC11:AC47 AC49 BR49 BU49 BW49">
    <cfRule type="cellIs" dxfId="71" priority="61" stopIfTrue="1" operator="between">
      <formula>$C$59</formula>
      <formula>$D$59</formula>
    </cfRule>
    <cfRule type="cellIs" dxfId="70" priority="62" stopIfTrue="1" operator="between">
      <formula>$C$58</formula>
      <formula>$D$58</formula>
    </cfRule>
    <cfRule type="cellIs" dxfId="69" priority="63" stopIfTrue="1" operator="between">
      <formula>$C$57</formula>
      <formula>$D$57</formula>
    </cfRule>
    <cfRule type="cellIs" dxfId="68" priority="64" stopIfTrue="1" operator="between">
      <formula>$C$56</formula>
      <formula>$D$56</formula>
    </cfRule>
    <cfRule type="cellIs" dxfId="67" priority="65" stopIfTrue="1" operator="between">
      <formula>$C$55</formula>
      <formula>$D$55</formula>
    </cfRule>
    <cfRule type="cellIs" dxfId="66" priority="66" stopIfTrue="1" operator="greaterThanOrEqual">
      <formula>$C$54</formula>
    </cfRule>
  </conditionalFormatting>
  <conditionalFormatting sqref="I11:I47">
    <cfRule type="cellIs" dxfId="65" priority="55" stopIfTrue="1" operator="between">
      <formula>$C$59</formula>
      <formula>$D$59</formula>
    </cfRule>
    <cfRule type="cellIs" dxfId="64" priority="56" stopIfTrue="1" operator="between">
      <formula>$C$58</formula>
      <formula>$D$58</formula>
    </cfRule>
    <cfRule type="cellIs" dxfId="63" priority="57" stopIfTrue="1" operator="between">
      <formula>$C$57</formula>
      <formula>$D$57</formula>
    </cfRule>
    <cfRule type="cellIs" dxfId="62" priority="58" stopIfTrue="1" operator="between">
      <formula>$C$56</formula>
      <formula>$D$56</formula>
    </cfRule>
    <cfRule type="cellIs" dxfId="61" priority="59" stopIfTrue="1" operator="between">
      <formula>$C$55</formula>
      <formula>$D$55</formula>
    </cfRule>
    <cfRule type="cellIs" dxfId="60" priority="60" stopIfTrue="1" operator="greaterThanOrEqual">
      <formula>$C$54</formula>
    </cfRule>
  </conditionalFormatting>
  <conditionalFormatting sqref="K11:K47">
    <cfRule type="cellIs" dxfId="59" priority="199" stopIfTrue="1" operator="between">
      <formula>$C$59</formula>
      <formula>$D$59</formula>
    </cfRule>
    <cfRule type="cellIs" dxfId="58" priority="200" stopIfTrue="1" operator="between">
      <formula>$C$58</formula>
      <formula>$D$58</formula>
    </cfRule>
    <cfRule type="cellIs" dxfId="57" priority="201" stopIfTrue="1" operator="between">
      <formula>$C$57</formula>
      <formula>$D$57</formula>
    </cfRule>
    <cfRule type="cellIs" dxfId="56" priority="202" stopIfTrue="1" operator="between">
      <formula>$C$56</formula>
      <formula>$D$56</formula>
    </cfRule>
    <cfRule type="cellIs" dxfId="55" priority="203" stopIfTrue="1" operator="between">
      <formula>$C$55</formula>
      <formula>$D$55</formula>
    </cfRule>
    <cfRule type="cellIs" dxfId="54" priority="204" stopIfTrue="1" operator="greaterThanOrEqual">
      <formula>$C$54</formula>
    </cfRule>
  </conditionalFormatting>
  <conditionalFormatting sqref="AP49">
    <cfRule type="cellIs" dxfId="53" priority="49" stopIfTrue="1" operator="between">
      <formula>$C$59</formula>
      <formula>$D$59</formula>
    </cfRule>
    <cfRule type="cellIs" dxfId="52" priority="50" stopIfTrue="1" operator="between">
      <formula>$C$58</formula>
      <formula>$D$58</formula>
    </cfRule>
    <cfRule type="cellIs" dxfId="51" priority="51" stopIfTrue="1" operator="between">
      <formula>$C$57</formula>
      <formula>$D$57</formula>
    </cfRule>
    <cfRule type="cellIs" dxfId="50" priority="52" stopIfTrue="1" operator="between">
      <formula>$C$56</formula>
      <formula>$D$56</formula>
    </cfRule>
    <cfRule type="cellIs" dxfId="49" priority="53" stopIfTrue="1" operator="between">
      <formula>$C$55</formula>
      <formula>$D$55</formula>
    </cfRule>
    <cfRule type="cellIs" dxfId="48" priority="54" stopIfTrue="1" operator="greaterThanOrEqual">
      <formula>$C$54</formula>
    </cfRule>
  </conditionalFormatting>
  <conditionalFormatting sqref="BR11:BR47">
    <cfRule type="cellIs" dxfId="47" priority="43" stopIfTrue="1" operator="between">
      <formula>$C$59</formula>
      <formula>$D$59</formula>
    </cfRule>
    <cfRule type="cellIs" dxfId="46" priority="44" stopIfTrue="1" operator="between">
      <formula>$C$58</formula>
      <formula>$D$58</formula>
    </cfRule>
    <cfRule type="cellIs" dxfId="45" priority="45" stopIfTrue="1" operator="between">
      <formula>$C$57</formula>
      <formula>$D$57</formula>
    </cfRule>
    <cfRule type="cellIs" dxfId="44" priority="46" stopIfTrue="1" operator="between">
      <formula>$C$56</formula>
      <formula>$D$56</formula>
    </cfRule>
    <cfRule type="cellIs" dxfId="43" priority="47" stopIfTrue="1" operator="between">
      <formula>$C$55</formula>
      <formula>$D$55</formula>
    </cfRule>
    <cfRule type="cellIs" dxfId="42" priority="48" stopIfTrue="1" operator="greaterThanOrEqual">
      <formula>$C$54</formula>
    </cfRule>
  </conditionalFormatting>
  <conditionalFormatting sqref="BU11:BU47">
    <cfRule type="cellIs" dxfId="41" priority="37" stopIfTrue="1" operator="between">
      <formula>$C$59</formula>
      <formula>$D$59</formula>
    </cfRule>
    <cfRule type="cellIs" dxfId="40" priority="38" stopIfTrue="1" operator="between">
      <formula>$C$58</formula>
      <formula>$D$58</formula>
    </cfRule>
    <cfRule type="cellIs" dxfId="39" priority="39" stopIfTrue="1" operator="between">
      <formula>$C$57</formula>
      <formula>$D$57</formula>
    </cfRule>
    <cfRule type="cellIs" dxfId="38" priority="40" stopIfTrue="1" operator="between">
      <formula>$C$56</formula>
      <formula>$D$56</formula>
    </cfRule>
    <cfRule type="cellIs" dxfId="37" priority="41" stopIfTrue="1" operator="between">
      <formula>$C$55</formula>
      <formula>$D$55</formula>
    </cfRule>
    <cfRule type="cellIs" dxfId="36" priority="42" stopIfTrue="1" operator="greaterThanOrEqual">
      <formula>$C$54</formula>
    </cfRule>
  </conditionalFormatting>
  <conditionalFormatting sqref="BW11:BW47">
    <cfRule type="cellIs" dxfId="35" priority="31" stopIfTrue="1" operator="between">
      <formula>$C$59</formula>
      <formula>$D$59</formula>
    </cfRule>
    <cfRule type="cellIs" dxfId="34" priority="32" stopIfTrue="1" operator="between">
      <formula>$C$58</formula>
      <formula>$D$58</formula>
    </cfRule>
    <cfRule type="cellIs" dxfId="33" priority="33" stopIfTrue="1" operator="between">
      <formula>$C$57</formula>
      <formula>$D$57</formula>
    </cfRule>
    <cfRule type="cellIs" dxfId="32" priority="34" stopIfTrue="1" operator="between">
      <formula>$C$56</formula>
      <formula>$D$56</formula>
    </cfRule>
    <cfRule type="cellIs" dxfId="31" priority="35" stopIfTrue="1" operator="between">
      <formula>$C$55</formula>
      <formula>$D$55</formula>
    </cfRule>
    <cfRule type="cellIs" dxfId="30" priority="36" stopIfTrue="1" operator="greaterThanOrEqual">
      <formula>$C$54</formula>
    </cfRule>
  </conditionalFormatting>
  <conditionalFormatting sqref="BP11">
    <cfRule type="cellIs" dxfId="29" priority="25" stopIfTrue="1" operator="between">
      <formula>$C$59</formula>
      <formula>$D$59</formula>
    </cfRule>
    <cfRule type="cellIs" dxfId="28" priority="26" stopIfTrue="1" operator="between">
      <formula>$C$58</formula>
      <formula>$D$58</formula>
    </cfRule>
    <cfRule type="cellIs" dxfId="27" priority="27" stopIfTrue="1" operator="between">
      <formula>$C$57</formula>
      <formula>$D$57</formula>
    </cfRule>
    <cfRule type="cellIs" dxfId="26" priority="28" stopIfTrue="1" operator="between">
      <formula>$C$56</formula>
      <formula>$D$56</formula>
    </cfRule>
    <cfRule type="cellIs" dxfId="25" priority="29" stopIfTrue="1" operator="between">
      <formula>$C$55</formula>
      <formula>$D$55</formula>
    </cfRule>
    <cfRule type="cellIs" dxfId="24" priority="30" stopIfTrue="1" operator="greaterThanOrEqual">
      <formula>$C$54</formula>
    </cfRule>
  </conditionalFormatting>
  <conditionalFormatting sqref="BP12">
    <cfRule type="cellIs" dxfId="23" priority="19" stopIfTrue="1" operator="between">
      <formula>$C$59</formula>
      <formula>$D$59</formula>
    </cfRule>
    <cfRule type="cellIs" dxfId="22" priority="20" stopIfTrue="1" operator="between">
      <formula>$C$58</formula>
      <formula>$D$58</formula>
    </cfRule>
    <cfRule type="cellIs" dxfId="21" priority="21" stopIfTrue="1" operator="between">
      <formula>$C$57</formula>
      <formula>$D$57</formula>
    </cfRule>
    <cfRule type="cellIs" dxfId="20" priority="22" stopIfTrue="1" operator="between">
      <formula>$C$56</formula>
      <formula>$D$56</formula>
    </cfRule>
    <cfRule type="cellIs" dxfId="19" priority="23" stopIfTrue="1" operator="between">
      <formula>$C$55</formula>
      <formula>$D$55</formula>
    </cfRule>
    <cfRule type="cellIs" dxfId="18" priority="24" stopIfTrue="1" operator="greaterThanOrEqual">
      <formula>$C$54</formula>
    </cfRule>
  </conditionalFormatting>
  <conditionalFormatting sqref="BP13:BP47">
    <cfRule type="cellIs" dxfId="17" priority="13" stopIfTrue="1" operator="between">
      <formula>$C$59</formula>
      <formula>$D$59</formula>
    </cfRule>
    <cfRule type="cellIs" dxfId="16" priority="14" stopIfTrue="1" operator="between">
      <formula>$C$58</formula>
      <formula>$D$58</formula>
    </cfRule>
    <cfRule type="cellIs" dxfId="15" priority="15" stopIfTrue="1" operator="between">
      <formula>$C$57</formula>
      <formula>$D$57</formula>
    </cfRule>
    <cfRule type="cellIs" dxfId="14" priority="16" stopIfTrue="1" operator="between">
      <formula>$C$56</formula>
      <formula>$D$56</formula>
    </cfRule>
    <cfRule type="cellIs" dxfId="13" priority="17" stopIfTrue="1" operator="between">
      <formula>$C$55</formula>
      <formula>$D$55</formula>
    </cfRule>
    <cfRule type="cellIs" dxfId="12" priority="18" stopIfTrue="1" operator="greaterThanOrEqual">
      <formula>$C$54</formula>
    </cfRule>
  </conditionalFormatting>
  <conditionalFormatting sqref="BP49">
    <cfRule type="cellIs" dxfId="11" priority="7" stopIfTrue="1" operator="between">
      <formula>$C$59</formula>
      <formula>$D$59</formula>
    </cfRule>
    <cfRule type="cellIs" dxfId="10" priority="8" stopIfTrue="1" operator="between">
      <formula>$C$58</formula>
      <formula>$D$58</formula>
    </cfRule>
    <cfRule type="cellIs" dxfId="9" priority="9" stopIfTrue="1" operator="between">
      <formula>$C$57</formula>
      <formula>$D$57</formula>
    </cfRule>
    <cfRule type="cellIs" dxfId="8" priority="10" stopIfTrue="1" operator="between">
      <formula>$C$56</formula>
      <formula>$D$56</formula>
    </cfRule>
    <cfRule type="cellIs" dxfId="7" priority="11" stopIfTrue="1" operator="between">
      <formula>$C$55</formula>
      <formula>$D$55</formula>
    </cfRule>
    <cfRule type="cellIs" dxfId="6" priority="12" stopIfTrue="1" operator="greaterThanOrEqual">
      <formula>$C$54</formula>
    </cfRule>
  </conditionalFormatting>
  <conditionalFormatting sqref="BI11:BI47 BI49">
    <cfRule type="cellIs" dxfId="5" priority="1" stopIfTrue="1" operator="lessThan">
      <formula>$BH$58</formula>
    </cfRule>
    <cfRule type="cellIs" dxfId="4" priority="2" stopIfTrue="1" operator="between">
      <formula>$BH$58</formula>
      <formula>$BI$58</formula>
    </cfRule>
    <cfRule type="cellIs" dxfId="3" priority="3" stopIfTrue="1" operator="between">
      <formula>$BH$57</formula>
      <formula>$BI$57</formula>
    </cfRule>
    <cfRule type="cellIs" dxfId="2" priority="4" stopIfTrue="1" operator="between">
      <formula>$BH$56</formula>
      <formula>$BI$56</formula>
    </cfRule>
    <cfRule type="cellIs" dxfId="1" priority="5" stopIfTrue="1" operator="between">
      <formula>$BH$55</formula>
      <formula>$BI$55</formula>
    </cfRule>
    <cfRule type="cellIs" dxfId="0" priority="6" stopIfTrue="1" operator="greaterThan">
      <formula>$BI$55</formula>
    </cfRule>
  </conditionalFormatting>
  <printOptions horizontalCentered="1"/>
  <pageMargins left="0.23622047244094491" right="0.19685039370078741" top="0.82677165354330717" bottom="0.31496062992125984" header="0.23622047244094491" footer="0.19685039370078741"/>
  <pageSetup paperSize="14" scale="68" orientation="landscape" r:id="rId1"/>
  <headerFooter>
    <oddHeader>&amp;L                        &amp;G&amp;C&amp;"-,Negrita"Ministerio Salud y  Protección Social
República de Colombia
Dirección de Promoción y Prevención - Programa - PAI
Coberturas de Vacunación por Biologicos y  Departamento - Diciembre de  2019</oddHeader>
    <oddFooter>&amp;C** &amp;F **&amp;R&amp;D - &amp;T        .</oddFooter>
  </headerFooter>
  <colBreaks count="1" manualBreakCount="1">
    <brk id="33" min="7" max="50" man="1"/>
  </colBreaks>
  <drawing r:id="rId2"/>
  <legacyDrawing r:id="rId3"/>
  <legacyDrawingHF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6"/>
  </sheetPr>
  <dimension ref="A5:M54"/>
  <sheetViews>
    <sheetView zoomScale="90" zoomScaleNormal="90" workbookViewId="0">
      <pane xSplit="1" ySplit="10" topLeftCell="B11" activePane="bottomRight" state="frozen"/>
      <selection activeCell="A4" sqref="A4"/>
      <selection pane="topRight" activeCell="A4" sqref="A4"/>
      <selection pane="bottomLeft" activeCell="A4" sqref="A4"/>
      <selection pane="bottomRight" activeCell="B11" sqref="B11"/>
    </sheetView>
  </sheetViews>
  <sheetFormatPr baseColWidth="10" defaultRowHeight="12.75" x14ac:dyDescent="0.2"/>
  <cols>
    <col min="1" max="1" width="23.42578125" style="17" customWidth="1"/>
    <col min="2" max="2" width="11.5703125" style="17" bestFit="1" customWidth="1"/>
    <col min="3" max="3" width="8" style="17" customWidth="1"/>
    <col min="4" max="4" width="6.140625" style="17" customWidth="1"/>
    <col min="5" max="5" width="11.42578125" style="17"/>
    <col min="6" max="6" width="6.42578125" style="17" customWidth="1"/>
    <col min="7" max="7" width="11.42578125" style="17"/>
    <col min="8" max="8" width="7.28515625" style="17" customWidth="1"/>
    <col min="9" max="9" width="11.42578125" style="17"/>
    <col min="10" max="10" width="6.7109375" style="17" customWidth="1"/>
    <col min="11" max="12" width="11.42578125" style="17"/>
    <col min="13" max="13" width="7.42578125" style="17" bestFit="1" customWidth="1"/>
    <col min="14" max="16384" width="11.42578125" style="17"/>
  </cols>
  <sheetData>
    <row r="5" spans="1:13" x14ac:dyDescent="0.2">
      <c r="A5" s="702" t="s">
        <v>305</v>
      </c>
      <c r="B5" s="753" t="s">
        <v>327</v>
      </c>
    </row>
    <row r="6" spans="1:13" x14ac:dyDescent="0.2">
      <c r="A6" s="702" t="s">
        <v>306</v>
      </c>
      <c r="B6" s="776">
        <v>35440</v>
      </c>
    </row>
    <row r="7" spans="1:13" x14ac:dyDescent="0.2">
      <c r="A7" s="702" t="s">
        <v>307</v>
      </c>
      <c r="B7" s="766" t="s">
        <v>312</v>
      </c>
    </row>
    <row r="8" spans="1:13" ht="13.5" thickBot="1" x14ac:dyDescent="0.25">
      <c r="A8" s="20" t="s">
        <v>51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</row>
    <row r="9" spans="1:13" ht="18.75" customHeight="1" thickBot="1" x14ac:dyDescent="0.25">
      <c r="A9" s="9" t="s">
        <v>52</v>
      </c>
      <c r="B9" s="10" t="s">
        <v>53</v>
      </c>
      <c r="C9" s="18" t="s">
        <v>3</v>
      </c>
      <c r="D9" s="18"/>
      <c r="E9" s="18" t="s">
        <v>6</v>
      </c>
      <c r="F9" s="18"/>
      <c r="G9" s="18" t="s">
        <v>54</v>
      </c>
      <c r="H9" s="18"/>
      <c r="I9" s="18" t="s">
        <v>7</v>
      </c>
      <c r="J9" s="18"/>
      <c r="K9" s="9" t="s">
        <v>53</v>
      </c>
      <c r="L9" s="18" t="s">
        <v>55</v>
      </c>
      <c r="M9" s="18"/>
    </row>
    <row r="10" spans="1:13" ht="19.5" customHeight="1" thickBot="1" x14ac:dyDescent="0.25">
      <c r="A10" s="19"/>
      <c r="B10" s="9" t="s">
        <v>56</v>
      </c>
      <c r="C10" s="9" t="s">
        <v>57</v>
      </c>
      <c r="D10" s="9" t="s">
        <v>5</v>
      </c>
      <c r="E10" s="9" t="s">
        <v>57</v>
      </c>
      <c r="F10" s="9" t="s">
        <v>5</v>
      </c>
      <c r="G10" s="9" t="s">
        <v>57</v>
      </c>
      <c r="H10" s="9" t="s">
        <v>5</v>
      </c>
      <c r="I10" s="9" t="s">
        <v>58</v>
      </c>
      <c r="J10" s="9" t="s">
        <v>5</v>
      </c>
      <c r="K10" s="9" t="s">
        <v>59</v>
      </c>
      <c r="L10" s="9" t="s">
        <v>60</v>
      </c>
      <c r="M10" s="9" t="s">
        <v>5</v>
      </c>
    </row>
    <row r="11" spans="1:13" x14ac:dyDescent="0.2">
      <c r="A11" s="69" t="s">
        <v>12</v>
      </c>
      <c r="B11" s="919">
        <v>1396</v>
      </c>
      <c r="C11" s="355">
        <v>972</v>
      </c>
      <c r="D11" s="1">
        <f t="shared" ref="D11:D47" si="0">(C11/B11)*100</f>
        <v>69.627507163323784</v>
      </c>
      <c r="E11" s="351">
        <v>976</v>
      </c>
      <c r="F11" s="1">
        <f t="shared" ref="F11:F47" si="1">(E11/B11)*100</f>
        <v>69.914040114613186</v>
      </c>
      <c r="G11" s="351">
        <v>1097</v>
      </c>
      <c r="H11" s="1">
        <f t="shared" ref="H11:H47" si="2">(G11/B11)*100</f>
        <v>78.581661891117477</v>
      </c>
      <c r="I11" s="351">
        <v>1465</v>
      </c>
      <c r="J11" s="361">
        <f t="shared" ref="J11:J47" si="3">(I11/B11)*100</f>
        <v>104.94269340974212</v>
      </c>
      <c r="K11" s="358">
        <v>1271</v>
      </c>
      <c r="L11" s="355">
        <v>1131</v>
      </c>
      <c r="M11" s="2">
        <f t="shared" ref="M11:M47" si="4">(L11/K11)*100</f>
        <v>88.985051140833988</v>
      </c>
    </row>
    <row r="12" spans="1:13" x14ac:dyDescent="0.2">
      <c r="A12" s="70" t="s">
        <v>11</v>
      </c>
      <c r="B12" s="920">
        <v>76183</v>
      </c>
      <c r="C12" s="356">
        <v>56992</v>
      </c>
      <c r="D12" s="4">
        <f t="shared" si="0"/>
        <v>74.809340666552899</v>
      </c>
      <c r="E12" s="352">
        <v>56041</v>
      </c>
      <c r="F12" s="4">
        <f t="shared" si="1"/>
        <v>73.561030676135104</v>
      </c>
      <c r="G12" s="352">
        <v>57751</v>
      </c>
      <c r="H12" s="4">
        <f t="shared" si="2"/>
        <v>75.80562592704409</v>
      </c>
      <c r="I12" s="352">
        <v>60424</v>
      </c>
      <c r="J12" s="362">
        <f t="shared" si="3"/>
        <v>79.314282713991318</v>
      </c>
      <c r="K12" s="359">
        <v>70886</v>
      </c>
      <c r="L12" s="356">
        <v>75032</v>
      </c>
      <c r="M12" s="5">
        <f t="shared" si="4"/>
        <v>105.84882769517252</v>
      </c>
    </row>
    <row r="13" spans="1:13" x14ac:dyDescent="0.2">
      <c r="A13" s="70" t="s">
        <v>13</v>
      </c>
      <c r="B13" s="920">
        <v>5344</v>
      </c>
      <c r="C13" s="356">
        <v>4050</v>
      </c>
      <c r="D13" s="4">
        <f t="shared" si="0"/>
        <v>75.785928143712582</v>
      </c>
      <c r="E13" s="352">
        <v>4061</v>
      </c>
      <c r="F13" s="4">
        <f t="shared" si="1"/>
        <v>75.991766467065872</v>
      </c>
      <c r="G13" s="352">
        <v>3978</v>
      </c>
      <c r="H13" s="4">
        <f t="shared" si="2"/>
        <v>74.438622754491007</v>
      </c>
      <c r="I13" s="352">
        <v>4806</v>
      </c>
      <c r="J13" s="362">
        <f t="shared" si="3"/>
        <v>89.932634730538922</v>
      </c>
      <c r="K13" s="359">
        <v>4966</v>
      </c>
      <c r="L13" s="356">
        <v>4479</v>
      </c>
      <c r="M13" s="5">
        <f t="shared" si="4"/>
        <v>90.193314538864271</v>
      </c>
    </row>
    <row r="14" spans="1:13" x14ac:dyDescent="0.2">
      <c r="A14" s="70" t="s">
        <v>14</v>
      </c>
      <c r="B14" s="920">
        <v>16659</v>
      </c>
      <c r="C14" s="356">
        <v>13736</v>
      </c>
      <c r="D14" s="4">
        <f t="shared" si="0"/>
        <v>82.45392880725133</v>
      </c>
      <c r="E14" s="352">
        <v>13351</v>
      </c>
      <c r="F14" s="4">
        <f t="shared" si="1"/>
        <v>80.142865718230382</v>
      </c>
      <c r="G14" s="352">
        <v>13342</v>
      </c>
      <c r="H14" s="4">
        <f t="shared" si="2"/>
        <v>80.088840866798733</v>
      </c>
      <c r="I14" s="352">
        <v>13061</v>
      </c>
      <c r="J14" s="362">
        <f t="shared" si="3"/>
        <v>78.402064949876944</v>
      </c>
      <c r="K14" s="359">
        <v>16805</v>
      </c>
      <c r="L14" s="356">
        <v>11566</v>
      </c>
      <c r="M14" s="5">
        <f t="shared" si="4"/>
        <v>68.824754537340084</v>
      </c>
    </row>
    <row r="15" spans="1:13" x14ac:dyDescent="0.2">
      <c r="A15" s="561" t="s">
        <v>115</v>
      </c>
      <c r="B15" s="920">
        <v>25556</v>
      </c>
      <c r="C15" s="356">
        <v>26534</v>
      </c>
      <c r="D15" s="4">
        <f t="shared" si="0"/>
        <v>103.82688996713101</v>
      </c>
      <c r="E15" s="352">
        <v>24297</v>
      </c>
      <c r="F15" s="4">
        <f t="shared" si="1"/>
        <v>95.073563938018467</v>
      </c>
      <c r="G15" s="352">
        <v>24990</v>
      </c>
      <c r="H15" s="4">
        <f t="shared" si="2"/>
        <v>97.785255908592887</v>
      </c>
      <c r="I15" s="352">
        <v>33420</v>
      </c>
      <c r="J15" s="362">
        <f t="shared" si="3"/>
        <v>130.77163875410861</v>
      </c>
      <c r="K15" s="359">
        <v>22442</v>
      </c>
      <c r="L15" s="356">
        <v>29492</v>
      </c>
      <c r="M15" s="5">
        <f t="shared" si="4"/>
        <v>131.41431244987078</v>
      </c>
    </row>
    <row r="16" spans="1:13" x14ac:dyDescent="0.2">
      <c r="A16" s="560" t="s">
        <v>116</v>
      </c>
      <c r="B16" s="920">
        <v>132943</v>
      </c>
      <c r="C16" s="356">
        <v>126174</v>
      </c>
      <c r="D16" s="4">
        <f t="shared" si="0"/>
        <v>94.908344177579863</v>
      </c>
      <c r="E16" s="352">
        <v>126665</v>
      </c>
      <c r="F16" s="4">
        <f t="shared" si="1"/>
        <v>95.277675394718045</v>
      </c>
      <c r="G16" s="352">
        <v>144456</v>
      </c>
      <c r="H16" s="4">
        <f t="shared" si="2"/>
        <v>108.66010244992215</v>
      </c>
      <c r="I16" s="352">
        <v>158917</v>
      </c>
      <c r="J16" s="362">
        <f t="shared" si="3"/>
        <v>119.53769660681645</v>
      </c>
      <c r="K16" s="359">
        <v>129606</v>
      </c>
      <c r="L16" s="356">
        <v>89700</v>
      </c>
      <c r="M16" s="5">
        <f t="shared" si="4"/>
        <v>69.20975880746262</v>
      </c>
    </row>
    <row r="17" spans="1:13" x14ac:dyDescent="0.2">
      <c r="A17" s="70" t="s">
        <v>62</v>
      </c>
      <c r="B17" s="920">
        <v>25118</v>
      </c>
      <c r="C17" s="356">
        <v>22098</v>
      </c>
      <c r="D17" s="4">
        <f t="shared" si="0"/>
        <v>87.97674974122144</v>
      </c>
      <c r="E17" s="352">
        <v>21616</v>
      </c>
      <c r="F17" s="4">
        <f t="shared" si="1"/>
        <v>86.057807150250824</v>
      </c>
      <c r="G17" s="352">
        <v>20160</v>
      </c>
      <c r="H17" s="4">
        <f t="shared" si="2"/>
        <v>80.261167290389352</v>
      </c>
      <c r="I17" s="352">
        <v>20676</v>
      </c>
      <c r="J17" s="362">
        <f t="shared" si="3"/>
        <v>82.315470976988621</v>
      </c>
      <c r="K17" s="359">
        <v>20721</v>
      </c>
      <c r="L17" s="356">
        <v>18489</v>
      </c>
      <c r="M17" s="5">
        <f t="shared" si="4"/>
        <v>89.228319096568697</v>
      </c>
    </row>
    <row r="18" spans="1:13" x14ac:dyDescent="0.2">
      <c r="A18" s="555" t="s">
        <v>45</v>
      </c>
      <c r="B18" s="920">
        <v>17667</v>
      </c>
      <c r="C18" s="356">
        <v>14990</v>
      </c>
      <c r="D18" s="4">
        <f t="shared" si="0"/>
        <v>84.847455708382853</v>
      </c>
      <c r="E18" s="352">
        <v>13700</v>
      </c>
      <c r="F18" s="4">
        <f t="shared" si="1"/>
        <v>77.545706684779532</v>
      </c>
      <c r="G18" s="352">
        <v>15209</v>
      </c>
      <c r="H18" s="4">
        <f t="shared" si="2"/>
        <v>86.087054961227153</v>
      </c>
      <c r="I18" s="352">
        <v>13478</v>
      </c>
      <c r="J18" s="362">
        <f t="shared" si="3"/>
        <v>76.289126620252446</v>
      </c>
      <c r="K18" s="359">
        <v>16472</v>
      </c>
      <c r="L18" s="356">
        <v>11472</v>
      </c>
      <c r="M18" s="5">
        <f t="shared" si="4"/>
        <v>69.645458960660505</v>
      </c>
    </row>
    <row r="19" spans="1:13" x14ac:dyDescent="0.2">
      <c r="A19" s="70" t="s">
        <v>17</v>
      </c>
      <c r="B19" s="920">
        <v>28990</v>
      </c>
      <c r="C19" s="356">
        <v>20387</v>
      </c>
      <c r="D19" s="4">
        <f t="shared" si="0"/>
        <v>70.324249741290103</v>
      </c>
      <c r="E19" s="352">
        <v>20078</v>
      </c>
      <c r="F19" s="4">
        <f t="shared" si="1"/>
        <v>69.258364953432221</v>
      </c>
      <c r="G19" s="352">
        <v>20638</v>
      </c>
      <c r="H19" s="4">
        <f t="shared" si="2"/>
        <v>71.190065539841328</v>
      </c>
      <c r="I19" s="352">
        <v>21481</v>
      </c>
      <c r="J19" s="362">
        <f t="shared" si="3"/>
        <v>74.097964815453608</v>
      </c>
      <c r="K19" s="359">
        <v>28984</v>
      </c>
      <c r="L19" s="356">
        <v>16989</v>
      </c>
      <c r="M19" s="5">
        <f t="shared" si="4"/>
        <v>58.615097985095218</v>
      </c>
    </row>
    <row r="20" spans="1:13" x14ac:dyDescent="0.2">
      <c r="A20" s="70" t="s">
        <v>19</v>
      </c>
      <c r="B20" s="920">
        <v>21099</v>
      </c>
      <c r="C20" s="356">
        <v>19332</v>
      </c>
      <c r="D20" s="4">
        <f t="shared" si="0"/>
        <v>91.625195506896063</v>
      </c>
      <c r="E20" s="352">
        <v>19371</v>
      </c>
      <c r="F20" s="4">
        <f t="shared" si="1"/>
        <v>91.810038390445044</v>
      </c>
      <c r="G20" s="352">
        <v>21599</v>
      </c>
      <c r="H20" s="4">
        <f t="shared" si="2"/>
        <v>102.36978055832029</v>
      </c>
      <c r="I20" s="352">
        <v>20299</v>
      </c>
      <c r="J20" s="362">
        <f t="shared" si="3"/>
        <v>96.208351106687516</v>
      </c>
      <c r="K20" s="359">
        <v>20157</v>
      </c>
      <c r="L20" s="356">
        <v>19693</v>
      </c>
      <c r="M20" s="5">
        <f t="shared" si="4"/>
        <v>97.698070149327776</v>
      </c>
    </row>
    <row r="21" spans="1:13" x14ac:dyDescent="0.2">
      <c r="A21" s="70" t="s">
        <v>63</v>
      </c>
      <c r="B21" s="920">
        <v>9995</v>
      </c>
      <c r="C21" s="356">
        <v>10732</v>
      </c>
      <c r="D21" s="4">
        <f t="shared" si="0"/>
        <v>107.37368684342169</v>
      </c>
      <c r="E21" s="352">
        <v>11161</v>
      </c>
      <c r="F21" s="4">
        <f t="shared" si="1"/>
        <v>111.66583291645821</v>
      </c>
      <c r="G21" s="352">
        <v>10688</v>
      </c>
      <c r="H21" s="4">
        <f t="shared" si="2"/>
        <v>106.93346673336667</v>
      </c>
      <c r="I21" s="352">
        <v>10361</v>
      </c>
      <c r="J21" s="362">
        <f t="shared" si="3"/>
        <v>103.66183091545773</v>
      </c>
      <c r="K21" s="359">
        <v>6926</v>
      </c>
      <c r="L21" s="356">
        <v>9108</v>
      </c>
      <c r="M21" s="5">
        <f t="shared" si="4"/>
        <v>131.50447588795842</v>
      </c>
    </row>
    <row r="22" spans="1:13" x14ac:dyDescent="0.2">
      <c r="A22" s="70" t="s">
        <v>21</v>
      </c>
      <c r="B22" s="920">
        <v>7047</v>
      </c>
      <c r="C22" s="356">
        <v>6640</v>
      </c>
      <c r="D22" s="4">
        <f t="shared" si="0"/>
        <v>94.224492691925647</v>
      </c>
      <c r="E22" s="352">
        <v>6629</v>
      </c>
      <c r="F22" s="4">
        <f t="shared" si="1"/>
        <v>94.068397899815523</v>
      </c>
      <c r="G22" s="352">
        <v>6429</v>
      </c>
      <c r="H22" s="4">
        <f t="shared" si="2"/>
        <v>91.230310770540655</v>
      </c>
      <c r="I22" s="352">
        <v>6968</v>
      </c>
      <c r="J22" s="362">
        <f t="shared" si="3"/>
        <v>98.878955583936417</v>
      </c>
      <c r="K22" s="359">
        <v>6258</v>
      </c>
      <c r="L22" s="356">
        <v>6027</v>
      </c>
      <c r="M22" s="5">
        <f t="shared" si="4"/>
        <v>96.308724832214764</v>
      </c>
    </row>
    <row r="23" spans="1:13" x14ac:dyDescent="0.2">
      <c r="A23" s="70" t="s">
        <v>18</v>
      </c>
      <c r="B23" s="920">
        <v>23563</v>
      </c>
      <c r="C23" s="356">
        <v>18711</v>
      </c>
      <c r="D23" s="4">
        <f t="shared" si="0"/>
        <v>79.408394516827229</v>
      </c>
      <c r="E23" s="352">
        <v>18822</v>
      </c>
      <c r="F23" s="4">
        <f t="shared" si="1"/>
        <v>79.879472053643426</v>
      </c>
      <c r="G23" s="352">
        <v>17675</v>
      </c>
      <c r="H23" s="4">
        <f t="shared" si="2"/>
        <v>75.011670839876075</v>
      </c>
      <c r="I23" s="352">
        <v>20628</v>
      </c>
      <c r="J23" s="362">
        <f t="shared" si="3"/>
        <v>87.544030895896114</v>
      </c>
      <c r="K23" s="359">
        <v>22185</v>
      </c>
      <c r="L23" s="356">
        <v>21227</v>
      </c>
      <c r="M23" s="5">
        <f t="shared" si="4"/>
        <v>95.681766959657423</v>
      </c>
    </row>
    <row r="24" spans="1:13" x14ac:dyDescent="0.2">
      <c r="A24" s="70" t="s">
        <v>22</v>
      </c>
      <c r="B24" s="920">
        <v>21321</v>
      </c>
      <c r="C24" s="356">
        <v>21981</v>
      </c>
      <c r="D24" s="4">
        <f t="shared" si="0"/>
        <v>103.09553960883635</v>
      </c>
      <c r="E24" s="352">
        <v>21610</v>
      </c>
      <c r="F24" s="4">
        <f t="shared" si="1"/>
        <v>101.35547113174803</v>
      </c>
      <c r="G24" s="352">
        <v>21888</v>
      </c>
      <c r="H24" s="4">
        <f t="shared" si="2"/>
        <v>102.65934993668215</v>
      </c>
      <c r="I24" s="352">
        <v>23840</v>
      </c>
      <c r="J24" s="362">
        <f t="shared" si="3"/>
        <v>111.81464284039211</v>
      </c>
      <c r="K24" s="359">
        <v>17862</v>
      </c>
      <c r="L24" s="356">
        <v>21741</v>
      </c>
      <c r="M24" s="5">
        <f t="shared" si="4"/>
        <v>121.71649311387303</v>
      </c>
    </row>
    <row r="25" spans="1:13" x14ac:dyDescent="0.2">
      <c r="A25" s="70" t="s">
        <v>24</v>
      </c>
      <c r="B25" s="920">
        <v>8425</v>
      </c>
      <c r="C25" s="356">
        <v>8268</v>
      </c>
      <c r="D25" s="4">
        <f t="shared" si="0"/>
        <v>98.136498516320472</v>
      </c>
      <c r="E25" s="352">
        <v>8271</v>
      </c>
      <c r="F25" s="4">
        <f t="shared" si="1"/>
        <v>98.17210682492582</v>
      </c>
      <c r="G25" s="352">
        <v>6208</v>
      </c>
      <c r="H25" s="4">
        <f t="shared" si="2"/>
        <v>73.685459940652819</v>
      </c>
      <c r="I25" s="352">
        <v>7976</v>
      </c>
      <c r="J25" s="362">
        <f t="shared" si="3"/>
        <v>94.670623145400583</v>
      </c>
      <c r="K25" s="359">
        <v>8410</v>
      </c>
      <c r="L25" s="356">
        <v>10787</v>
      </c>
      <c r="M25" s="5">
        <f t="shared" si="4"/>
        <v>128.26397146254459</v>
      </c>
    </row>
    <row r="26" spans="1:13" x14ac:dyDescent="0.2">
      <c r="A26" s="70" t="s">
        <v>64</v>
      </c>
      <c r="B26" s="920">
        <v>33133</v>
      </c>
      <c r="C26" s="356">
        <v>33305</v>
      </c>
      <c r="D26" s="4">
        <f t="shared" si="0"/>
        <v>100.51911991066309</v>
      </c>
      <c r="E26" s="352">
        <v>32372</v>
      </c>
      <c r="F26" s="4">
        <f t="shared" si="1"/>
        <v>97.703196209217396</v>
      </c>
      <c r="G26" s="352">
        <v>30580</v>
      </c>
      <c r="H26" s="4">
        <f t="shared" si="2"/>
        <v>92.294691093471769</v>
      </c>
      <c r="I26" s="352">
        <v>33159</v>
      </c>
      <c r="J26" s="362">
        <f t="shared" si="3"/>
        <v>100.07847161440256</v>
      </c>
      <c r="K26" s="359">
        <v>28111</v>
      </c>
      <c r="L26" s="356">
        <v>30100</v>
      </c>
      <c r="M26" s="5">
        <f t="shared" si="4"/>
        <v>107.0755220376365</v>
      </c>
    </row>
    <row r="27" spans="1:13" x14ac:dyDescent="0.2">
      <c r="A27" s="558" t="s">
        <v>122</v>
      </c>
      <c r="B27" s="920">
        <v>42049</v>
      </c>
      <c r="C27" s="356">
        <v>39301</v>
      </c>
      <c r="D27" s="4">
        <f t="shared" si="0"/>
        <v>93.464767295298344</v>
      </c>
      <c r="E27" s="352">
        <v>38942</v>
      </c>
      <c r="F27" s="4">
        <f t="shared" si="1"/>
        <v>92.611001450688477</v>
      </c>
      <c r="G27" s="352">
        <v>36019</v>
      </c>
      <c r="H27" s="4">
        <f t="shared" si="2"/>
        <v>85.659587623962523</v>
      </c>
      <c r="I27" s="352">
        <v>45775</v>
      </c>
      <c r="J27" s="362">
        <f t="shared" si="3"/>
        <v>108.86109063235749</v>
      </c>
      <c r="K27" s="359">
        <v>41186</v>
      </c>
      <c r="L27" s="356">
        <v>46220</v>
      </c>
      <c r="M27" s="5">
        <f t="shared" si="4"/>
        <v>112.22259991259165</v>
      </c>
    </row>
    <row r="28" spans="1:13" x14ac:dyDescent="0.2">
      <c r="A28" s="70" t="s">
        <v>65</v>
      </c>
      <c r="B28" s="920">
        <v>740</v>
      </c>
      <c r="C28" s="356">
        <v>544</v>
      </c>
      <c r="D28" s="4">
        <f t="shared" si="0"/>
        <v>73.513513513513516</v>
      </c>
      <c r="E28" s="352">
        <v>593</v>
      </c>
      <c r="F28" s="4">
        <f t="shared" si="1"/>
        <v>80.135135135135144</v>
      </c>
      <c r="G28" s="352">
        <v>505</v>
      </c>
      <c r="H28" s="4">
        <f t="shared" si="2"/>
        <v>68.243243243243242</v>
      </c>
      <c r="I28" s="352">
        <v>698</v>
      </c>
      <c r="J28" s="362">
        <f t="shared" si="3"/>
        <v>94.324324324324323</v>
      </c>
      <c r="K28" s="359">
        <v>860</v>
      </c>
      <c r="L28" s="356">
        <v>595</v>
      </c>
      <c r="M28" s="5">
        <f t="shared" si="4"/>
        <v>69.186046511627907</v>
      </c>
    </row>
    <row r="29" spans="1:13" x14ac:dyDescent="0.2">
      <c r="A29" s="70" t="s">
        <v>26</v>
      </c>
      <c r="B29" s="920">
        <v>3106</v>
      </c>
      <c r="C29" s="356">
        <v>1834</v>
      </c>
      <c r="D29" s="4">
        <f t="shared" si="0"/>
        <v>59.04700579523503</v>
      </c>
      <c r="E29" s="352">
        <v>1722</v>
      </c>
      <c r="F29" s="4">
        <f t="shared" si="1"/>
        <v>55.441081777205412</v>
      </c>
      <c r="G29" s="352">
        <v>1620</v>
      </c>
      <c r="H29" s="4">
        <f t="shared" si="2"/>
        <v>52.157115260785581</v>
      </c>
      <c r="I29" s="352">
        <v>1783</v>
      </c>
      <c r="J29" s="362">
        <f t="shared" si="3"/>
        <v>57.405022537025104</v>
      </c>
      <c r="K29" s="359">
        <v>2766</v>
      </c>
      <c r="L29" s="356">
        <v>4278</v>
      </c>
      <c r="M29" s="5">
        <f t="shared" si="4"/>
        <v>154.66377440347071</v>
      </c>
    </row>
    <row r="30" spans="1:13" x14ac:dyDescent="0.2">
      <c r="A30" s="70" t="s">
        <v>27</v>
      </c>
      <c r="B30" s="920">
        <v>23715</v>
      </c>
      <c r="C30" s="356">
        <v>21513</v>
      </c>
      <c r="D30" s="4">
        <f t="shared" si="0"/>
        <v>90.714737507906378</v>
      </c>
      <c r="E30" s="352">
        <v>21399</v>
      </c>
      <c r="F30" s="4">
        <f t="shared" si="1"/>
        <v>90.234029095509172</v>
      </c>
      <c r="G30" s="352">
        <v>15697</v>
      </c>
      <c r="H30" s="4">
        <f t="shared" si="2"/>
        <v>66.190174994729077</v>
      </c>
      <c r="I30" s="352">
        <v>27792</v>
      </c>
      <c r="J30" s="362">
        <f t="shared" si="3"/>
        <v>117.19165085388994</v>
      </c>
      <c r="K30" s="359">
        <v>21639</v>
      </c>
      <c r="L30" s="356">
        <v>41408</v>
      </c>
      <c r="M30" s="5">
        <f t="shared" si="4"/>
        <v>191.35819585008548</v>
      </c>
    </row>
    <row r="31" spans="1:13" x14ac:dyDescent="0.2">
      <c r="A31" s="557" t="s">
        <v>124</v>
      </c>
      <c r="B31" s="920">
        <v>11034</v>
      </c>
      <c r="C31" s="356">
        <v>9422</v>
      </c>
      <c r="D31" s="4">
        <f t="shared" si="0"/>
        <v>85.390610839224209</v>
      </c>
      <c r="E31" s="352">
        <v>9310</v>
      </c>
      <c r="F31" s="4">
        <f t="shared" si="1"/>
        <v>84.375566431031359</v>
      </c>
      <c r="G31" s="352">
        <v>9796</v>
      </c>
      <c r="H31" s="4">
        <f t="shared" si="2"/>
        <v>88.78013413086822</v>
      </c>
      <c r="I31" s="352">
        <v>11491</v>
      </c>
      <c r="J31" s="362">
        <f t="shared" si="3"/>
        <v>104.14174370128693</v>
      </c>
      <c r="K31" s="359">
        <v>10903</v>
      </c>
      <c r="L31" s="356">
        <v>0</v>
      </c>
      <c r="M31" s="5">
        <f t="shared" si="4"/>
        <v>0</v>
      </c>
    </row>
    <row r="32" spans="1:13" x14ac:dyDescent="0.2">
      <c r="A32" s="70" t="s">
        <v>28</v>
      </c>
      <c r="B32" s="920">
        <v>18436</v>
      </c>
      <c r="C32" s="356">
        <v>18283</v>
      </c>
      <c r="D32" s="4">
        <f t="shared" si="0"/>
        <v>99.170101974397923</v>
      </c>
      <c r="E32" s="352">
        <v>17733</v>
      </c>
      <c r="F32" s="4">
        <f t="shared" si="1"/>
        <v>96.186808418311998</v>
      </c>
      <c r="G32" s="352">
        <v>17255</v>
      </c>
      <c r="H32" s="4">
        <f t="shared" si="2"/>
        <v>93.594055109568245</v>
      </c>
      <c r="I32" s="352">
        <v>17489</v>
      </c>
      <c r="J32" s="362">
        <f t="shared" si="3"/>
        <v>94.86331091343024</v>
      </c>
      <c r="K32" s="359">
        <v>15999</v>
      </c>
      <c r="L32" s="356">
        <v>16309</v>
      </c>
      <c r="M32" s="5">
        <f t="shared" si="4"/>
        <v>101.93762110131883</v>
      </c>
    </row>
    <row r="33" spans="1:13" x14ac:dyDescent="0.2">
      <c r="A33" s="561" t="s">
        <v>127</v>
      </c>
      <c r="B33" s="920">
        <v>7275</v>
      </c>
      <c r="C33" s="356">
        <v>6035</v>
      </c>
      <c r="D33" s="4">
        <f t="shared" si="0"/>
        <v>82.955326460481103</v>
      </c>
      <c r="E33" s="352">
        <v>6027</v>
      </c>
      <c r="F33" s="4">
        <f t="shared" si="1"/>
        <v>82.845360824742258</v>
      </c>
      <c r="G33" s="352">
        <v>6281</v>
      </c>
      <c r="H33" s="4">
        <f t="shared" si="2"/>
        <v>86.336769759450178</v>
      </c>
      <c r="I33" s="352">
        <v>6169</v>
      </c>
      <c r="J33" s="362">
        <f t="shared" si="3"/>
        <v>84.797250859106526</v>
      </c>
      <c r="K33" s="359">
        <v>6338</v>
      </c>
      <c r="L33" s="356">
        <v>5867</v>
      </c>
      <c r="M33" s="5">
        <f t="shared" si="4"/>
        <v>92.568633638371722</v>
      </c>
    </row>
    <row r="34" spans="1:13" x14ac:dyDescent="0.2">
      <c r="A34" s="70" t="s">
        <v>29</v>
      </c>
      <c r="B34" s="920">
        <v>20175</v>
      </c>
      <c r="C34" s="356">
        <v>16460</v>
      </c>
      <c r="D34" s="4">
        <f t="shared" si="0"/>
        <v>81.586121437422548</v>
      </c>
      <c r="E34" s="352">
        <v>15969</v>
      </c>
      <c r="F34" s="4">
        <f t="shared" si="1"/>
        <v>79.152416356877325</v>
      </c>
      <c r="G34" s="352">
        <v>15601</v>
      </c>
      <c r="H34" s="4">
        <f t="shared" si="2"/>
        <v>77.328376703841386</v>
      </c>
      <c r="I34" s="352">
        <v>16914</v>
      </c>
      <c r="J34" s="362">
        <f t="shared" si="3"/>
        <v>83.836431226765797</v>
      </c>
      <c r="K34" s="359">
        <v>16368</v>
      </c>
      <c r="L34" s="356">
        <v>17538</v>
      </c>
      <c r="M34" s="5">
        <f t="shared" si="4"/>
        <v>107.14809384164224</v>
      </c>
    </row>
    <row r="35" spans="1:13" x14ac:dyDescent="0.2">
      <c r="A35" s="70" t="s">
        <v>30</v>
      </c>
      <c r="B35" s="920">
        <v>31758</v>
      </c>
      <c r="C35" s="356">
        <v>23701</v>
      </c>
      <c r="D35" s="4">
        <f t="shared" si="0"/>
        <v>74.630014484539331</v>
      </c>
      <c r="E35" s="352">
        <v>23918</v>
      </c>
      <c r="F35" s="4">
        <f t="shared" si="1"/>
        <v>75.313306883305003</v>
      </c>
      <c r="G35" s="352">
        <v>23709</v>
      </c>
      <c r="H35" s="4">
        <f t="shared" si="2"/>
        <v>74.655204987719628</v>
      </c>
      <c r="I35" s="352">
        <v>26645</v>
      </c>
      <c r="J35" s="362">
        <f t="shared" si="3"/>
        <v>83.900119654890105</v>
      </c>
      <c r="K35" s="359">
        <v>29874</v>
      </c>
      <c r="L35" s="356">
        <v>23804</v>
      </c>
      <c r="M35" s="5">
        <f t="shared" si="4"/>
        <v>79.68132824529691</v>
      </c>
    </row>
    <row r="36" spans="1:13" x14ac:dyDescent="0.2">
      <c r="A36" s="559" t="s">
        <v>125</v>
      </c>
      <c r="B36" s="920">
        <v>26047</v>
      </c>
      <c r="C36" s="356">
        <v>23083</v>
      </c>
      <c r="D36" s="4">
        <f t="shared" si="0"/>
        <v>88.620570507160139</v>
      </c>
      <c r="E36" s="352">
        <v>22610</v>
      </c>
      <c r="F36" s="4">
        <f t="shared" si="1"/>
        <v>86.804622413329753</v>
      </c>
      <c r="G36" s="352">
        <v>23045</v>
      </c>
      <c r="H36" s="4">
        <f t="shared" si="2"/>
        <v>88.474680385457063</v>
      </c>
      <c r="I36" s="352">
        <v>26901</v>
      </c>
      <c r="J36" s="362">
        <f t="shared" si="3"/>
        <v>103.27868852459017</v>
      </c>
      <c r="K36" s="359">
        <v>25671</v>
      </c>
      <c r="L36" s="356">
        <v>24122</v>
      </c>
      <c r="M36" s="5">
        <f t="shared" si="4"/>
        <v>93.965953800007796</v>
      </c>
    </row>
    <row r="37" spans="1:13" x14ac:dyDescent="0.2">
      <c r="A37" s="71" t="s">
        <v>31</v>
      </c>
      <c r="B37" s="920">
        <v>7971</v>
      </c>
      <c r="C37" s="356">
        <v>4935</v>
      </c>
      <c r="D37" s="4">
        <f t="shared" si="0"/>
        <v>61.911930748964991</v>
      </c>
      <c r="E37" s="352">
        <v>4940</v>
      </c>
      <c r="F37" s="4">
        <f t="shared" si="1"/>
        <v>61.974658135742068</v>
      </c>
      <c r="G37" s="352">
        <v>4481</v>
      </c>
      <c r="H37" s="4">
        <f t="shared" si="2"/>
        <v>56.216284029607323</v>
      </c>
      <c r="I37" s="352">
        <v>4511</v>
      </c>
      <c r="J37" s="362">
        <f t="shared" si="3"/>
        <v>56.592648350269727</v>
      </c>
      <c r="K37" s="359">
        <v>5430</v>
      </c>
      <c r="L37" s="356">
        <v>4874</v>
      </c>
      <c r="M37" s="5">
        <f t="shared" si="4"/>
        <v>89.760589318600367</v>
      </c>
    </row>
    <row r="38" spans="1:13" x14ac:dyDescent="0.2">
      <c r="A38" s="70" t="s">
        <v>32</v>
      </c>
      <c r="B38" s="920">
        <v>10486</v>
      </c>
      <c r="C38" s="356">
        <v>8409</v>
      </c>
      <c r="D38" s="4">
        <f t="shared" si="0"/>
        <v>80.19263780278466</v>
      </c>
      <c r="E38" s="352">
        <v>8522</v>
      </c>
      <c r="F38" s="4">
        <f t="shared" si="1"/>
        <v>81.27026511539195</v>
      </c>
      <c r="G38" s="352">
        <v>9314</v>
      </c>
      <c r="H38" s="4">
        <f t="shared" si="2"/>
        <v>88.82319282853328</v>
      </c>
      <c r="I38" s="352">
        <v>10017</v>
      </c>
      <c r="J38" s="362">
        <f t="shared" si="3"/>
        <v>95.527369826435248</v>
      </c>
      <c r="K38" s="359">
        <v>8294</v>
      </c>
      <c r="L38" s="356">
        <v>9364</v>
      </c>
      <c r="M38" s="5">
        <f t="shared" si="4"/>
        <v>112.90089221123705</v>
      </c>
    </row>
    <row r="39" spans="1:13" x14ac:dyDescent="0.2">
      <c r="A39" s="70" t="s">
        <v>33</v>
      </c>
      <c r="B39" s="920">
        <v>18426</v>
      </c>
      <c r="C39" s="356">
        <v>16365</v>
      </c>
      <c r="D39" s="4">
        <f t="shared" si="0"/>
        <v>88.814718332790619</v>
      </c>
      <c r="E39" s="352">
        <v>16475</v>
      </c>
      <c r="F39" s="4">
        <f t="shared" si="1"/>
        <v>89.411700857483993</v>
      </c>
      <c r="G39" s="352">
        <v>21447</v>
      </c>
      <c r="H39" s="4">
        <f t="shared" si="2"/>
        <v>116.39531097362423</v>
      </c>
      <c r="I39" s="352">
        <v>14776</v>
      </c>
      <c r="J39" s="362">
        <f t="shared" si="3"/>
        <v>80.191034407901867</v>
      </c>
      <c r="K39" s="359">
        <v>14848</v>
      </c>
      <c r="L39" s="356">
        <v>15410</v>
      </c>
      <c r="M39" s="5">
        <f t="shared" si="4"/>
        <v>103.78502155172413</v>
      </c>
    </row>
    <row r="40" spans="1:13" x14ac:dyDescent="0.2">
      <c r="A40" s="70" t="s">
        <v>34</v>
      </c>
      <c r="B40" s="920">
        <v>1622</v>
      </c>
      <c r="C40" s="356">
        <v>1326</v>
      </c>
      <c r="D40" s="4">
        <f t="shared" si="0"/>
        <v>81.75092478421702</v>
      </c>
      <c r="E40" s="352">
        <v>1315</v>
      </c>
      <c r="F40" s="4">
        <f t="shared" si="1"/>
        <v>81.072749691738593</v>
      </c>
      <c r="G40" s="352">
        <v>1121</v>
      </c>
      <c r="H40" s="4">
        <f t="shared" si="2"/>
        <v>69.112207151664606</v>
      </c>
      <c r="I40" s="352">
        <v>1066</v>
      </c>
      <c r="J40" s="362">
        <f t="shared" si="3"/>
        <v>65.721331689272503</v>
      </c>
      <c r="K40" s="359">
        <v>0</v>
      </c>
      <c r="L40" s="356">
        <v>0</v>
      </c>
      <c r="M40" s="5" t="e">
        <f t="shared" si="4"/>
        <v>#DIV/0!</v>
      </c>
    </row>
    <row r="41" spans="1:13" x14ac:dyDescent="0.2">
      <c r="A41" s="70" t="s">
        <v>35</v>
      </c>
      <c r="B41" s="920" t="s">
        <v>66</v>
      </c>
      <c r="C41" s="356">
        <v>37280</v>
      </c>
      <c r="D41" s="4">
        <f t="shared" si="0"/>
        <v>91.682652107618907</v>
      </c>
      <c r="E41" s="352">
        <v>36536</v>
      </c>
      <c r="F41" s="4">
        <f t="shared" si="1"/>
        <v>89.852933943239393</v>
      </c>
      <c r="G41" s="352">
        <v>37070</v>
      </c>
      <c r="H41" s="4">
        <f t="shared" si="2"/>
        <v>91.166199399931131</v>
      </c>
      <c r="I41" s="352">
        <v>41566</v>
      </c>
      <c r="J41" s="362">
        <f t="shared" si="3"/>
        <v>102.22320594166543</v>
      </c>
      <c r="K41" s="359">
        <v>39890</v>
      </c>
      <c r="L41" s="356">
        <v>37821</v>
      </c>
      <c r="M41" s="5">
        <f t="shared" si="4"/>
        <v>94.81323640010028</v>
      </c>
    </row>
    <row r="42" spans="1:13" x14ac:dyDescent="0.2">
      <c r="A42" s="70" t="s">
        <v>36</v>
      </c>
      <c r="B42" s="920">
        <v>16990</v>
      </c>
      <c r="C42" s="356">
        <v>16431</v>
      </c>
      <c r="D42" s="4">
        <f t="shared" si="0"/>
        <v>96.709829311359613</v>
      </c>
      <c r="E42" s="352">
        <v>16287</v>
      </c>
      <c r="F42" s="4">
        <f t="shared" si="1"/>
        <v>95.86227192466157</v>
      </c>
      <c r="G42" s="352">
        <v>14715</v>
      </c>
      <c r="H42" s="4">
        <f t="shared" si="2"/>
        <v>86.609770453207773</v>
      </c>
      <c r="I42" s="352">
        <v>17425</v>
      </c>
      <c r="J42" s="362">
        <f t="shared" si="3"/>
        <v>102.56032960565038</v>
      </c>
      <c r="K42" s="359">
        <v>16736</v>
      </c>
      <c r="L42" s="356">
        <v>15625</v>
      </c>
      <c r="M42" s="5">
        <f t="shared" si="4"/>
        <v>93.361615678776289</v>
      </c>
    </row>
    <row r="43" spans="1:13" x14ac:dyDescent="0.2">
      <c r="A43" s="70" t="s">
        <v>37</v>
      </c>
      <c r="B43" s="920">
        <v>26476</v>
      </c>
      <c r="C43" s="356">
        <v>27060</v>
      </c>
      <c r="D43" s="4">
        <f t="shared" si="0"/>
        <v>102.20577126454147</v>
      </c>
      <c r="E43" s="352">
        <v>26368</v>
      </c>
      <c r="F43" s="4">
        <f t="shared" si="1"/>
        <v>99.592083396283428</v>
      </c>
      <c r="G43" s="352">
        <v>27501</v>
      </c>
      <c r="H43" s="4">
        <f t="shared" si="2"/>
        <v>103.87143072971747</v>
      </c>
      <c r="I43" s="352">
        <v>27140</v>
      </c>
      <c r="J43" s="362">
        <f t="shared" si="3"/>
        <v>102.50793171173893</v>
      </c>
      <c r="K43" s="359">
        <v>36050</v>
      </c>
      <c r="L43" s="356">
        <v>34490</v>
      </c>
      <c r="M43" s="5">
        <f t="shared" si="4"/>
        <v>95.672676837725376</v>
      </c>
    </row>
    <row r="44" spans="1:13" x14ac:dyDescent="0.2">
      <c r="A44" s="70" t="s">
        <v>38</v>
      </c>
      <c r="B44" s="920">
        <v>81127</v>
      </c>
      <c r="C44" s="356">
        <v>76523</v>
      </c>
      <c r="D44" s="4">
        <f t="shared" si="0"/>
        <v>94.324947304843022</v>
      </c>
      <c r="E44" s="352">
        <v>76826</v>
      </c>
      <c r="F44" s="4">
        <f t="shared" si="1"/>
        <v>94.698435785866607</v>
      </c>
      <c r="G44" s="352">
        <v>76084</v>
      </c>
      <c r="H44" s="4">
        <f t="shared" si="2"/>
        <v>93.783820429696647</v>
      </c>
      <c r="I44" s="352">
        <v>80244</v>
      </c>
      <c r="J44" s="362">
        <f t="shared" si="3"/>
        <v>98.911583073452732</v>
      </c>
      <c r="K44" s="359">
        <v>80239</v>
      </c>
      <c r="L44" s="356">
        <v>68032</v>
      </c>
      <c r="M44" s="5">
        <f t="shared" si="4"/>
        <v>84.786699734543049</v>
      </c>
    </row>
    <row r="45" spans="1:13" x14ac:dyDescent="0.2">
      <c r="A45" s="70" t="s">
        <v>39</v>
      </c>
      <c r="B45" s="920">
        <v>964</v>
      </c>
      <c r="C45" s="356">
        <v>213</v>
      </c>
      <c r="D45" s="4">
        <f t="shared" si="0"/>
        <v>22.095435684647303</v>
      </c>
      <c r="E45" s="352">
        <v>219</v>
      </c>
      <c r="F45" s="4">
        <f t="shared" si="1"/>
        <v>22.717842323651453</v>
      </c>
      <c r="G45" s="352">
        <v>230</v>
      </c>
      <c r="H45" s="4">
        <f t="shared" si="2"/>
        <v>23.858921161825727</v>
      </c>
      <c r="I45" s="352">
        <v>498</v>
      </c>
      <c r="J45" s="362">
        <f t="shared" si="3"/>
        <v>51.659751037344407</v>
      </c>
      <c r="K45" s="359">
        <v>1975</v>
      </c>
      <c r="L45" s="356">
        <v>514</v>
      </c>
      <c r="M45" s="5">
        <f t="shared" si="4"/>
        <v>26.025316455696203</v>
      </c>
    </row>
    <row r="46" spans="1:13" ht="13.5" thickBot="1" x14ac:dyDescent="0.25">
      <c r="A46" s="72" t="s">
        <v>40</v>
      </c>
      <c r="B46" s="921">
        <v>1464</v>
      </c>
      <c r="C46" s="357">
        <v>640</v>
      </c>
      <c r="D46" s="6">
        <f t="shared" si="0"/>
        <v>43.715846994535518</v>
      </c>
      <c r="E46" s="353">
        <v>653</v>
      </c>
      <c r="F46" s="6">
        <f t="shared" si="1"/>
        <v>44.603825136612024</v>
      </c>
      <c r="G46" s="353">
        <v>607</v>
      </c>
      <c r="H46" s="6">
        <f t="shared" si="2"/>
        <v>41.461748633879779</v>
      </c>
      <c r="I46" s="353">
        <v>956</v>
      </c>
      <c r="J46" s="363">
        <f t="shared" si="3"/>
        <v>65.300546448087431</v>
      </c>
      <c r="K46" s="360">
        <v>1469</v>
      </c>
      <c r="L46" s="357">
        <v>824</v>
      </c>
      <c r="M46" s="22">
        <f t="shared" si="4"/>
        <v>56.092579986385296</v>
      </c>
    </row>
    <row r="47" spans="1:13" ht="25.5" customHeight="1" thickBot="1" x14ac:dyDescent="0.25">
      <c r="A47" s="9" t="s">
        <v>41</v>
      </c>
      <c r="B47" s="354">
        <f>SUM(B11:B46)</f>
        <v>804300</v>
      </c>
      <c r="C47" s="354">
        <f>SUM(C11:C46)</f>
        <v>754260</v>
      </c>
      <c r="D47" s="23">
        <f t="shared" si="0"/>
        <v>93.778440880268548</v>
      </c>
      <c r="E47" s="354">
        <f>SUM(E11:E46)</f>
        <v>745385</v>
      </c>
      <c r="F47" s="23">
        <f t="shared" si="1"/>
        <v>92.674996891707067</v>
      </c>
      <c r="G47" s="354">
        <f>SUM(G11:G46)</f>
        <v>758786</v>
      </c>
      <c r="H47" s="23">
        <f t="shared" si="2"/>
        <v>94.341166231505653</v>
      </c>
      <c r="I47" s="354">
        <f>SUM(I11:I46)</f>
        <v>830815</v>
      </c>
      <c r="J47" s="23">
        <f t="shared" si="3"/>
        <v>103.29665547681213</v>
      </c>
      <c r="K47" s="354">
        <f>SUM(K11:K46)</f>
        <v>798597</v>
      </c>
      <c r="L47" s="354">
        <f>SUM(L11:L46)</f>
        <v>744128</v>
      </c>
      <c r="M47" s="23">
        <f t="shared" si="4"/>
        <v>93.17941339624366</v>
      </c>
    </row>
    <row r="49" spans="1:13" x14ac:dyDescent="0.2">
      <c r="A49" s="177" t="s">
        <v>153</v>
      </c>
      <c r="B49" s="175">
        <f>B14+B15</f>
        <v>42215</v>
      </c>
      <c r="E49" s="175">
        <f>E14+E15</f>
        <v>37648</v>
      </c>
      <c r="F49" s="4">
        <f>(E49/B49)*100</f>
        <v>89.181570531801498</v>
      </c>
      <c r="G49" s="175">
        <f>G14+G15</f>
        <v>38332</v>
      </c>
      <c r="K49" s="175">
        <f>K14+K15</f>
        <v>39247</v>
      </c>
      <c r="L49" s="175">
        <f>L14+L15</f>
        <v>41058</v>
      </c>
      <c r="M49" s="176">
        <f>L49/K49*100</f>
        <v>104.61436542920477</v>
      </c>
    </row>
    <row r="50" spans="1:13" x14ac:dyDescent="0.2">
      <c r="A50" s="177" t="s">
        <v>154</v>
      </c>
      <c r="B50" s="175">
        <f>B17+B18</f>
        <v>42785</v>
      </c>
      <c r="E50" s="175">
        <f>E17+E18</f>
        <v>35316</v>
      </c>
      <c r="F50" s="4">
        <f>(E50/B50)*100</f>
        <v>82.542947294612603</v>
      </c>
      <c r="G50" s="175">
        <f>G17+G18</f>
        <v>35369</v>
      </c>
      <c r="K50" s="175">
        <f>K17+K18</f>
        <v>37193</v>
      </c>
      <c r="L50" s="175">
        <f>L17+L18</f>
        <v>29961</v>
      </c>
      <c r="M50" s="176">
        <f>L50/K50*100</f>
        <v>80.555480870056201</v>
      </c>
    </row>
    <row r="51" spans="1:13" x14ac:dyDescent="0.2">
      <c r="A51" s="177" t="s">
        <v>155</v>
      </c>
      <c r="B51" s="175">
        <f>B32+B33</f>
        <v>25711</v>
      </c>
      <c r="E51" s="175">
        <f>E32+E33</f>
        <v>23760</v>
      </c>
      <c r="F51" s="4">
        <f>(E51/B51)*100</f>
        <v>92.411808175489085</v>
      </c>
      <c r="G51" s="175">
        <f>G32+G33</f>
        <v>23536</v>
      </c>
      <c r="K51" s="175">
        <f>K32+K33</f>
        <v>22337</v>
      </c>
      <c r="L51" s="175">
        <f>L32+L33</f>
        <v>22176</v>
      </c>
      <c r="M51" s="176">
        <f>L51/K51*100</f>
        <v>99.279222814164839</v>
      </c>
    </row>
    <row r="54" spans="1:13" x14ac:dyDescent="0.2">
      <c r="A54" s="70" t="s">
        <v>61</v>
      </c>
      <c r="B54" s="7">
        <v>34391</v>
      </c>
      <c r="C54" s="3">
        <v>28264</v>
      </c>
      <c r="D54" s="4">
        <f>(C54/B54)*100</f>
        <v>82.184292402081937</v>
      </c>
      <c r="E54" s="3">
        <v>28864</v>
      </c>
      <c r="F54" s="4">
        <f>(E54/B54)*100</f>
        <v>83.928934895757607</v>
      </c>
      <c r="G54" s="3">
        <v>34270</v>
      </c>
      <c r="H54" s="4">
        <f>(G54/B54)*100</f>
        <v>99.648163763775415</v>
      </c>
      <c r="I54" s="3">
        <v>38584</v>
      </c>
      <c r="J54" s="4">
        <f>(I54/B54)*100</f>
        <v>112.19214329330347</v>
      </c>
      <c r="K54" s="8">
        <v>33897</v>
      </c>
      <c r="L54" s="3">
        <v>40039</v>
      </c>
      <c r="M54" s="5">
        <f>(L54/K54)*100</f>
        <v>118.11959760450776</v>
      </c>
    </row>
  </sheetData>
  <phoneticPr fontId="11" type="noConversion"/>
  <printOptions horizontalCentered="1"/>
  <pageMargins left="0.43307086614173229" right="0.47244094488188981" top="0.9055118110236221" bottom="0.23622047244094491" header="0.19685039370078741" footer="0"/>
  <pageSetup scale="85" orientation="landscape" horizontalDpi="4294967295" verticalDpi="4294967295" r:id="rId1"/>
  <headerFooter alignWithMargins="0">
    <oddHeader>&amp;L      &amp;G&amp;C&amp;"Arial,Negrita"MINISTERIO DE LA PROTECCION SOCIAL
República de Colombia
Dirección General de Salud Pública
Programa Ampliado de Inmunizaciones - PAI</oddHeader>
    <oddFooter>&amp;C&amp;F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7"/>
  </sheetPr>
  <dimension ref="A5:M47"/>
  <sheetViews>
    <sheetView zoomScale="90" zoomScaleNormal="90" workbookViewId="0">
      <pane xSplit="1" ySplit="10" topLeftCell="B11" activePane="bottomRight" state="frozen"/>
      <selection activeCell="A4" sqref="A4"/>
      <selection pane="topRight" activeCell="A4" sqref="A4"/>
      <selection pane="bottomLeft" activeCell="A4" sqref="A4"/>
      <selection pane="bottomRight" activeCell="B11" sqref="B11"/>
    </sheetView>
  </sheetViews>
  <sheetFormatPr baseColWidth="10" defaultRowHeight="12.75" x14ac:dyDescent="0.2"/>
  <cols>
    <col min="1" max="1" width="22.42578125" style="17" customWidth="1"/>
    <col min="2" max="2" width="12.28515625" style="17" bestFit="1" customWidth="1"/>
    <col min="3" max="3" width="7.85546875" style="17" bestFit="1" customWidth="1"/>
    <col min="4" max="4" width="6.85546875" style="17" customWidth="1"/>
    <col min="5" max="5" width="7.85546875" style="17" bestFit="1" customWidth="1"/>
    <col min="6" max="6" width="6.7109375" style="17" customWidth="1"/>
    <col min="7" max="7" width="11.42578125" style="17"/>
    <col min="8" max="8" width="6" style="17" customWidth="1"/>
    <col min="9" max="9" width="13.28515625" style="17" customWidth="1"/>
    <col min="10" max="10" width="5.85546875" style="17" customWidth="1"/>
    <col min="11" max="11" width="13.140625" style="17" bestFit="1" customWidth="1"/>
    <col min="12" max="12" width="11.42578125" style="17"/>
    <col min="13" max="13" width="6" style="17" customWidth="1"/>
    <col min="14" max="16384" width="11.42578125" style="17"/>
  </cols>
  <sheetData>
    <row r="5" spans="1:13" x14ac:dyDescent="0.2">
      <c r="A5" s="702" t="s">
        <v>305</v>
      </c>
      <c r="B5" s="753" t="s">
        <v>326</v>
      </c>
    </row>
    <row r="6" spans="1:13" x14ac:dyDescent="0.2">
      <c r="A6" s="702" t="s">
        <v>306</v>
      </c>
      <c r="B6" s="776">
        <v>35807</v>
      </c>
    </row>
    <row r="7" spans="1:13" x14ac:dyDescent="0.2">
      <c r="A7" s="702" t="s">
        <v>307</v>
      </c>
      <c r="B7" s="766" t="s">
        <v>312</v>
      </c>
    </row>
    <row r="8" spans="1:13" ht="13.5" thickBot="1" x14ac:dyDescent="0.25">
      <c r="A8" s="26"/>
      <c r="B8" s="1862" t="s">
        <v>67</v>
      </c>
      <c r="C8" s="1862"/>
      <c r="D8" s="1862"/>
      <c r="E8" s="1862"/>
      <c r="F8" s="1862"/>
      <c r="G8" s="1862"/>
      <c r="H8" s="1862"/>
      <c r="I8" s="1862"/>
      <c r="J8" s="1862"/>
      <c r="K8" s="1862"/>
      <c r="L8" s="1862"/>
      <c r="M8" s="1862"/>
    </row>
    <row r="9" spans="1:13" ht="21.75" customHeight="1" thickBot="1" x14ac:dyDescent="0.25">
      <c r="A9" s="9" t="s">
        <v>52</v>
      </c>
      <c r="B9" s="9" t="s">
        <v>68</v>
      </c>
      <c r="C9" s="18" t="s">
        <v>3</v>
      </c>
      <c r="D9" s="18"/>
      <c r="E9" s="18" t="s">
        <v>6</v>
      </c>
      <c r="F9" s="18"/>
      <c r="G9" s="18" t="s">
        <v>7</v>
      </c>
      <c r="H9" s="18"/>
      <c r="I9" s="24" t="s">
        <v>69</v>
      </c>
      <c r="J9" s="25"/>
      <c r="K9" s="27" t="s">
        <v>70</v>
      </c>
      <c r="L9" s="18" t="s">
        <v>55</v>
      </c>
      <c r="M9" s="18"/>
    </row>
    <row r="10" spans="1:13" ht="21.75" customHeight="1" thickBot="1" x14ac:dyDescent="0.25">
      <c r="A10" s="364"/>
      <c r="B10" s="33" t="s">
        <v>74</v>
      </c>
      <c r="C10" s="33" t="s">
        <v>57</v>
      </c>
      <c r="D10" s="33" t="s">
        <v>5</v>
      </c>
      <c r="E10" s="33" t="s">
        <v>57</v>
      </c>
      <c r="F10" s="33" t="s">
        <v>5</v>
      </c>
      <c r="G10" s="33" t="s">
        <v>58</v>
      </c>
      <c r="H10" s="33" t="s">
        <v>5</v>
      </c>
      <c r="I10" s="33" t="s">
        <v>57</v>
      </c>
      <c r="J10" s="33" t="s">
        <v>5</v>
      </c>
      <c r="K10" s="35" t="s">
        <v>71</v>
      </c>
      <c r="L10" s="33" t="s">
        <v>58</v>
      </c>
      <c r="M10" s="33" t="s">
        <v>5</v>
      </c>
    </row>
    <row r="11" spans="1:13" x14ac:dyDescent="0.2">
      <c r="A11" s="365" t="s">
        <v>12</v>
      </c>
      <c r="B11" s="114">
        <v>1127</v>
      </c>
      <c r="C11" s="376">
        <v>1152</v>
      </c>
      <c r="D11" s="11">
        <f>C11/B11*100</f>
        <v>102.21827861579413</v>
      </c>
      <c r="E11" s="385">
        <v>1028</v>
      </c>
      <c r="F11" s="11">
        <f>(E11/B11)*100</f>
        <v>91.215616681455188</v>
      </c>
      <c r="G11" s="385">
        <v>1201</v>
      </c>
      <c r="H11" s="11">
        <f>(G11/B11)*100</f>
        <v>106.56610470275068</v>
      </c>
      <c r="I11" s="385">
        <v>996</v>
      </c>
      <c r="J11" s="12">
        <f>(I11/B11)*100</f>
        <v>88.376220053238683</v>
      </c>
      <c r="K11" s="390">
        <v>1297</v>
      </c>
      <c r="L11" s="376">
        <v>995</v>
      </c>
      <c r="M11" s="13">
        <f>(L11/K11)*100</f>
        <v>76.715497301464922</v>
      </c>
    </row>
    <row r="12" spans="1:13" x14ac:dyDescent="0.2">
      <c r="A12" s="366" t="s">
        <v>11</v>
      </c>
      <c r="B12" s="118">
        <v>114783</v>
      </c>
      <c r="C12" s="377">
        <v>95834</v>
      </c>
      <c r="D12" s="14">
        <f>C12/B12*100</f>
        <v>83.491457794272677</v>
      </c>
      <c r="E12" s="386">
        <v>94143</v>
      </c>
      <c r="F12" s="14">
        <f>(E12/B12)*100</f>
        <v>82.018243119625737</v>
      </c>
      <c r="G12" s="386">
        <v>108426</v>
      </c>
      <c r="H12" s="14">
        <f>(G12/B12)*100</f>
        <v>94.461723425942864</v>
      </c>
      <c r="I12" s="386">
        <v>91290</v>
      </c>
      <c r="J12" s="15">
        <f>(I12/B12)*100</f>
        <v>79.53268341130655</v>
      </c>
      <c r="K12" s="118">
        <v>106810</v>
      </c>
      <c r="L12" s="377">
        <v>103625</v>
      </c>
      <c r="M12" s="16">
        <f>(L12/K12)*100</f>
        <v>97.018069469150831</v>
      </c>
    </row>
    <row r="13" spans="1:13" x14ac:dyDescent="0.2">
      <c r="A13" s="366" t="s">
        <v>13</v>
      </c>
      <c r="B13" s="118">
        <v>5304</v>
      </c>
      <c r="C13" s="378">
        <v>4147</v>
      </c>
      <c r="D13" s="14">
        <f>C13/B13*100</f>
        <v>78.186274509803923</v>
      </c>
      <c r="E13" s="386">
        <v>4561</v>
      </c>
      <c r="F13" s="14">
        <f>(E13/B13)*100</f>
        <v>85.991704374057321</v>
      </c>
      <c r="G13" s="386">
        <v>4663</v>
      </c>
      <c r="H13" s="14">
        <f>(G13/B13)*100</f>
        <v>87.91478129713424</v>
      </c>
      <c r="I13" s="386">
        <v>4306</v>
      </c>
      <c r="J13" s="15">
        <f>(I13/B13)*100</f>
        <v>81.184012066365014</v>
      </c>
      <c r="K13" s="118">
        <v>4918</v>
      </c>
      <c r="L13" s="377">
        <v>4087</v>
      </c>
      <c r="M13" s="16">
        <f>(L13/K13)*100</f>
        <v>83.102887352582357</v>
      </c>
    </row>
    <row r="14" spans="1:13" x14ac:dyDescent="0.2">
      <c r="A14" s="366" t="s">
        <v>14</v>
      </c>
      <c r="B14" s="118">
        <v>52571</v>
      </c>
      <c r="C14" s="377">
        <f>15810+25505</f>
        <v>41315</v>
      </c>
      <c r="D14" s="14">
        <f>C14/B14*100</f>
        <v>78.588955888227346</v>
      </c>
      <c r="E14" s="386">
        <v>40962</v>
      </c>
      <c r="F14" s="14">
        <f>(E14/B14)*100</f>
        <v>77.917483022959416</v>
      </c>
      <c r="G14" s="386">
        <f>14845+39973</f>
        <v>54818</v>
      </c>
      <c r="H14" s="14">
        <f>(G14/B14)*100</f>
        <v>104.27421962679044</v>
      </c>
      <c r="I14" s="386">
        <f>15490+25117</f>
        <v>40607</v>
      </c>
      <c r="J14" s="15">
        <f>(I14/B14)*100</f>
        <v>77.242205778851456</v>
      </c>
      <c r="K14" s="118">
        <v>46429</v>
      </c>
      <c r="L14" s="377">
        <v>39054</v>
      </c>
      <c r="M14" s="16">
        <f>(L14/K14)*100</f>
        <v>84.115531241250082</v>
      </c>
    </row>
    <row r="15" spans="1:13" x14ac:dyDescent="0.2">
      <c r="A15" s="430" t="s">
        <v>115</v>
      </c>
      <c r="B15" s="379"/>
      <c r="C15" s="380"/>
      <c r="D15" s="341"/>
      <c r="E15" s="387"/>
      <c r="F15" s="341"/>
      <c r="G15" s="387"/>
      <c r="H15" s="341"/>
      <c r="I15" s="387"/>
      <c r="J15" s="350"/>
      <c r="K15" s="379"/>
      <c r="L15" s="380"/>
      <c r="M15" s="342"/>
    </row>
    <row r="16" spans="1:13" x14ac:dyDescent="0.2">
      <c r="A16" s="366" t="s">
        <v>15</v>
      </c>
      <c r="B16" s="118">
        <v>136000</v>
      </c>
      <c r="C16" s="378">
        <v>119870</v>
      </c>
      <c r="D16" s="14">
        <f>C16/B16*100</f>
        <v>88.139705882352942</v>
      </c>
      <c r="E16" s="386">
        <v>117631</v>
      </c>
      <c r="F16" s="14">
        <f>(E16/B16)*100</f>
        <v>86.493382352941168</v>
      </c>
      <c r="G16" s="386">
        <v>153465</v>
      </c>
      <c r="H16" s="14">
        <f>(G16/B16)*100</f>
        <v>112.84191176470588</v>
      </c>
      <c r="I16" s="386">
        <v>125972</v>
      </c>
      <c r="J16" s="15">
        <f>(I16/B16)*100</f>
        <v>92.626470588235293</v>
      </c>
      <c r="K16" s="118">
        <v>130416</v>
      </c>
      <c r="L16" s="377">
        <v>111192</v>
      </c>
      <c r="M16" s="16">
        <f>(L16/K16)*100</f>
        <v>85.259477364740519</v>
      </c>
    </row>
    <row r="17" spans="1:13" x14ac:dyDescent="0.2">
      <c r="A17" s="366" t="s">
        <v>62</v>
      </c>
      <c r="B17" s="118">
        <v>41803</v>
      </c>
      <c r="C17" s="377">
        <v>38918</v>
      </c>
      <c r="D17" s="14">
        <f>C17/B17*100</f>
        <v>93.098581441523336</v>
      </c>
      <c r="E17" s="386">
        <v>36834</v>
      </c>
      <c r="F17" s="14">
        <f>(E17/B17)*100</f>
        <v>88.1132933043083</v>
      </c>
      <c r="G17" s="386">
        <v>38953</v>
      </c>
      <c r="H17" s="14">
        <f>(G17/B17)*100</f>
        <v>93.182307489893063</v>
      </c>
      <c r="I17" s="386">
        <v>34133</v>
      </c>
      <c r="J17" s="15">
        <f>(I17/B17)*100</f>
        <v>81.652034542975386</v>
      </c>
      <c r="K17" s="118">
        <v>41803</v>
      </c>
      <c r="L17" s="377">
        <v>34933</v>
      </c>
      <c r="M17" s="16">
        <f>(L17/K17)*100</f>
        <v>83.565772791426454</v>
      </c>
    </row>
    <row r="18" spans="1:13" x14ac:dyDescent="0.2">
      <c r="A18" s="430" t="s">
        <v>45</v>
      </c>
      <c r="B18" s="379"/>
      <c r="C18" s="380"/>
      <c r="D18" s="341"/>
      <c r="E18" s="387"/>
      <c r="F18" s="341"/>
      <c r="G18" s="387"/>
      <c r="H18" s="341"/>
      <c r="I18" s="387"/>
      <c r="J18" s="350"/>
      <c r="K18" s="379"/>
      <c r="L18" s="380"/>
      <c r="M18" s="342"/>
    </row>
    <row r="19" spans="1:13" x14ac:dyDescent="0.2">
      <c r="A19" s="366" t="s">
        <v>17</v>
      </c>
      <c r="B19" s="118">
        <v>24435</v>
      </c>
      <c r="C19" s="377">
        <v>22924</v>
      </c>
      <c r="D19" s="14">
        <f t="shared" ref="D19:D32" si="0">C19/B19*100</f>
        <v>93.816247186412937</v>
      </c>
      <c r="E19" s="386">
        <v>22779</v>
      </c>
      <c r="F19" s="14">
        <f t="shared" ref="F19:F32" si="1">(E19/B19)*100</f>
        <v>93.222836095764279</v>
      </c>
      <c r="G19" s="386">
        <v>26857</v>
      </c>
      <c r="H19" s="14">
        <f t="shared" ref="H19:H32" si="2">(G19/B19)*100</f>
        <v>109.91201145897278</v>
      </c>
      <c r="I19" s="386">
        <v>22830</v>
      </c>
      <c r="J19" s="15">
        <f t="shared" ref="J19:J32" si="3">(I19/B19)*100</f>
        <v>93.431553100061379</v>
      </c>
      <c r="K19" s="118">
        <v>26224</v>
      </c>
      <c r="L19" s="377">
        <v>21492</v>
      </c>
      <c r="M19" s="16">
        <f t="shared" ref="M19:M32" si="4">(L19/K19)*100</f>
        <v>81.955460646735816</v>
      </c>
    </row>
    <row r="20" spans="1:13" x14ac:dyDescent="0.2">
      <c r="A20" s="366" t="s">
        <v>19</v>
      </c>
      <c r="B20" s="118">
        <v>26224</v>
      </c>
      <c r="C20" s="377">
        <v>17552</v>
      </c>
      <c r="D20" s="14">
        <f t="shared" si="0"/>
        <v>66.931055521659545</v>
      </c>
      <c r="E20" s="386">
        <v>18706</v>
      </c>
      <c r="F20" s="14">
        <f t="shared" si="1"/>
        <v>71.331604636973765</v>
      </c>
      <c r="G20" s="386">
        <v>19514</v>
      </c>
      <c r="H20" s="14">
        <f t="shared" si="2"/>
        <v>74.412751677852356</v>
      </c>
      <c r="I20" s="386">
        <v>18947</v>
      </c>
      <c r="J20" s="15">
        <f t="shared" si="3"/>
        <v>72.250610128126908</v>
      </c>
      <c r="K20" s="118">
        <v>20157</v>
      </c>
      <c r="L20" s="377">
        <v>18453</v>
      </c>
      <c r="M20" s="16">
        <f t="shared" si="4"/>
        <v>91.546361065634756</v>
      </c>
    </row>
    <row r="21" spans="1:13" x14ac:dyDescent="0.2">
      <c r="A21" s="366" t="s">
        <v>63</v>
      </c>
      <c r="B21" s="118">
        <v>9691</v>
      </c>
      <c r="C21" s="378">
        <v>9136</v>
      </c>
      <c r="D21" s="14">
        <f t="shared" si="0"/>
        <v>94.273036838303582</v>
      </c>
      <c r="E21" s="386">
        <v>9058</v>
      </c>
      <c r="F21" s="14">
        <f t="shared" si="1"/>
        <v>93.468166339903007</v>
      </c>
      <c r="G21" s="386">
        <v>9250</v>
      </c>
      <c r="H21" s="14">
        <f t="shared" si="2"/>
        <v>95.449386028273651</v>
      </c>
      <c r="I21" s="386">
        <v>8896</v>
      </c>
      <c r="J21" s="15">
        <f t="shared" si="3"/>
        <v>91.796512227840267</v>
      </c>
      <c r="K21" s="391">
        <v>8977</v>
      </c>
      <c r="L21" s="377">
        <v>9454</v>
      </c>
      <c r="M21" s="16">
        <f t="shared" si="4"/>
        <v>105.31357914670825</v>
      </c>
    </row>
    <row r="22" spans="1:13" x14ac:dyDescent="0.2">
      <c r="A22" s="366" t="s">
        <v>21</v>
      </c>
      <c r="B22" s="118">
        <v>7588</v>
      </c>
      <c r="C22" s="377">
        <v>6912</v>
      </c>
      <c r="D22" s="14">
        <f t="shared" si="0"/>
        <v>91.091196626251985</v>
      </c>
      <c r="E22" s="386">
        <v>6912</v>
      </c>
      <c r="F22" s="14">
        <f t="shared" si="1"/>
        <v>91.091196626251985</v>
      </c>
      <c r="G22" s="386">
        <v>7305</v>
      </c>
      <c r="H22" s="14">
        <f t="shared" si="2"/>
        <v>96.270426989984188</v>
      </c>
      <c r="I22" s="386">
        <v>6688</v>
      </c>
      <c r="J22" s="15">
        <f t="shared" si="3"/>
        <v>88.139167105956773</v>
      </c>
      <c r="K22" s="118">
        <v>7047</v>
      </c>
      <c r="L22" s="377">
        <v>6079</v>
      </c>
      <c r="M22" s="16">
        <f t="shared" si="4"/>
        <v>86.263658294309636</v>
      </c>
    </row>
    <row r="23" spans="1:13" x14ac:dyDescent="0.2">
      <c r="A23" s="366" t="s">
        <v>18</v>
      </c>
      <c r="B23" s="118">
        <v>24227</v>
      </c>
      <c r="C23" s="377">
        <v>17707</v>
      </c>
      <c r="D23" s="14">
        <f t="shared" si="0"/>
        <v>73.087877161844233</v>
      </c>
      <c r="E23" s="386">
        <v>17773</v>
      </c>
      <c r="F23" s="14">
        <f t="shared" si="1"/>
        <v>73.360300491187516</v>
      </c>
      <c r="G23" s="386">
        <v>18822</v>
      </c>
      <c r="H23" s="14">
        <f t="shared" si="2"/>
        <v>77.690180377265037</v>
      </c>
      <c r="I23" s="386">
        <v>16919</v>
      </c>
      <c r="J23" s="15">
        <f t="shared" si="3"/>
        <v>69.835307714533371</v>
      </c>
      <c r="K23" s="118">
        <v>23257</v>
      </c>
      <c r="L23" s="377">
        <v>21299</v>
      </c>
      <c r="M23" s="16">
        <f t="shared" si="4"/>
        <v>91.581029367502254</v>
      </c>
    </row>
    <row r="24" spans="1:13" x14ac:dyDescent="0.2">
      <c r="A24" s="366" t="s">
        <v>22</v>
      </c>
      <c r="B24" s="118">
        <v>21193</v>
      </c>
      <c r="C24" s="377">
        <v>20335</v>
      </c>
      <c r="D24" s="14">
        <f t="shared" si="0"/>
        <v>95.951493417637906</v>
      </c>
      <c r="E24" s="386">
        <v>20102</v>
      </c>
      <c r="F24" s="14">
        <f t="shared" si="1"/>
        <v>94.852073797952158</v>
      </c>
      <c r="G24" s="386">
        <v>22450</v>
      </c>
      <c r="H24" s="14">
        <f t="shared" si="2"/>
        <v>105.93120369933469</v>
      </c>
      <c r="I24" s="386">
        <v>23218</v>
      </c>
      <c r="J24" s="15">
        <f t="shared" si="3"/>
        <v>109.55504175907139</v>
      </c>
      <c r="K24" s="118">
        <v>20967</v>
      </c>
      <c r="L24" s="377">
        <v>20183</v>
      </c>
      <c r="M24" s="16">
        <f t="shared" si="4"/>
        <v>96.260790766442511</v>
      </c>
    </row>
    <row r="25" spans="1:13" x14ac:dyDescent="0.2">
      <c r="A25" s="366" t="s">
        <v>24</v>
      </c>
      <c r="B25" s="118">
        <v>11963</v>
      </c>
      <c r="C25" s="377">
        <v>10468</v>
      </c>
      <c r="D25" s="14">
        <f t="shared" si="0"/>
        <v>87.503134665217758</v>
      </c>
      <c r="E25" s="386">
        <v>10353</v>
      </c>
      <c r="F25" s="14">
        <f t="shared" si="1"/>
        <v>86.541837331772967</v>
      </c>
      <c r="G25" s="386">
        <v>10454</v>
      </c>
      <c r="H25" s="14">
        <f t="shared" si="2"/>
        <v>87.386107163754914</v>
      </c>
      <c r="I25" s="386">
        <v>9557</v>
      </c>
      <c r="J25" s="15">
        <f t="shared" si="3"/>
        <v>79.88798796288556</v>
      </c>
      <c r="K25" s="391">
        <v>9831</v>
      </c>
      <c r="L25" s="377">
        <v>8978</v>
      </c>
      <c r="M25" s="16">
        <f t="shared" si="4"/>
        <v>91.323364866239444</v>
      </c>
    </row>
    <row r="26" spans="1:13" x14ac:dyDescent="0.2">
      <c r="A26" s="366" t="s">
        <v>64</v>
      </c>
      <c r="B26" s="118">
        <v>30763</v>
      </c>
      <c r="C26" s="377">
        <v>30821</v>
      </c>
      <c r="D26" s="14">
        <f t="shared" si="0"/>
        <v>100.18853817898123</v>
      </c>
      <c r="E26" s="386">
        <v>30635</v>
      </c>
      <c r="F26" s="14">
        <f t="shared" si="1"/>
        <v>99.583915742937947</v>
      </c>
      <c r="G26" s="386">
        <v>31800</v>
      </c>
      <c r="H26" s="14">
        <f t="shared" si="2"/>
        <v>103.37093261385431</v>
      </c>
      <c r="I26" s="386">
        <v>32341</v>
      </c>
      <c r="J26" s="15">
        <f t="shared" si="3"/>
        <v>105.12953873159314</v>
      </c>
      <c r="K26" s="118">
        <v>27147</v>
      </c>
      <c r="L26" s="377">
        <v>28641</v>
      </c>
      <c r="M26" s="16">
        <f t="shared" si="4"/>
        <v>105.50337053818102</v>
      </c>
    </row>
    <row r="27" spans="1:13" x14ac:dyDescent="0.2">
      <c r="A27" s="367" t="s">
        <v>122</v>
      </c>
      <c r="B27" s="118">
        <v>42603</v>
      </c>
      <c r="C27" s="377">
        <v>36296</v>
      </c>
      <c r="D27" s="14">
        <f t="shared" si="0"/>
        <v>85.195878224538177</v>
      </c>
      <c r="E27" s="386">
        <v>35949</v>
      </c>
      <c r="F27" s="14">
        <f t="shared" si="1"/>
        <v>84.381381592845571</v>
      </c>
      <c r="G27" s="386">
        <v>41792</v>
      </c>
      <c r="H27" s="14">
        <f t="shared" si="2"/>
        <v>98.096378189329386</v>
      </c>
      <c r="I27" s="386">
        <v>32799</v>
      </c>
      <c r="J27" s="15">
        <f t="shared" si="3"/>
        <v>76.987536089007818</v>
      </c>
      <c r="K27" s="118">
        <v>41822</v>
      </c>
      <c r="L27" s="377">
        <v>34681</v>
      </c>
      <c r="M27" s="16">
        <f t="shared" si="4"/>
        <v>82.925254650662325</v>
      </c>
    </row>
    <row r="28" spans="1:13" x14ac:dyDescent="0.2">
      <c r="A28" s="366" t="s">
        <v>65</v>
      </c>
      <c r="B28" s="118">
        <v>762</v>
      </c>
      <c r="C28" s="377">
        <f>490+38</f>
        <v>528</v>
      </c>
      <c r="D28" s="14">
        <f t="shared" si="0"/>
        <v>69.29133858267717</v>
      </c>
      <c r="E28" s="386">
        <f>485+42</f>
        <v>527</v>
      </c>
      <c r="F28" s="14">
        <f t="shared" si="1"/>
        <v>69.160104986876632</v>
      </c>
      <c r="G28" s="386">
        <f>526+64</f>
        <v>590</v>
      </c>
      <c r="H28" s="14">
        <f t="shared" si="2"/>
        <v>77.427821522309713</v>
      </c>
      <c r="I28" s="386">
        <f>465+24</f>
        <v>489</v>
      </c>
      <c r="J28" s="15">
        <f t="shared" si="3"/>
        <v>64.173228346456696</v>
      </c>
      <c r="K28" s="118">
        <v>988</v>
      </c>
      <c r="L28" s="377">
        <f>437+50</f>
        <v>487</v>
      </c>
      <c r="M28" s="16">
        <f t="shared" si="4"/>
        <v>49.291497975708502</v>
      </c>
    </row>
    <row r="29" spans="1:13" x14ac:dyDescent="0.2">
      <c r="A29" s="366" t="s">
        <v>26</v>
      </c>
      <c r="B29" s="118">
        <v>3456</v>
      </c>
      <c r="C29" s="377">
        <v>2333</v>
      </c>
      <c r="D29" s="14">
        <f t="shared" si="0"/>
        <v>67.505787037037038</v>
      </c>
      <c r="E29" s="386">
        <v>2116</v>
      </c>
      <c r="F29" s="14">
        <f t="shared" si="1"/>
        <v>61.226851851851848</v>
      </c>
      <c r="G29" s="386">
        <v>2578</v>
      </c>
      <c r="H29" s="14">
        <f t="shared" si="2"/>
        <v>74.594907407407405</v>
      </c>
      <c r="I29" s="386">
        <v>2192</v>
      </c>
      <c r="J29" s="15">
        <f t="shared" si="3"/>
        <v>63.425925925925931</v>
      </c>
      <c r="K29" s="391">
        <v>2988</v>
      </c>
      <c r="L29" s="377">
        <v>2547</v>
      </c>
      <c r="M29" s="16">
        <f t="shared" si="4"/>
        <v>85.240963855421697</v>
      </c>
    </row>
    <row r="30" spans="1:13" x14ac:dyDescent="0.2">
      <c r="A30" s="366" t="s">
        <v>27</v>
      </c>
      <c r="B30" s="118">
        <v>24121</v>
      </c>
      <c r="C30" s="377">
        <v>20737</v>
      </c>
      <c r="D30" s="14">
        <f t="shared" si="0"/>
        <v>85.970730898387288</v>
      </c>
      <c r="E30" s="386">
        <v>22369</v>
      </c>
      <c r="F30" s="14">
        <f t="shared" si="1"/>
        <v>92.736619543136683</v>
      </c>
      <c r="G30" s="386">
        <v>22740</v>
      </c>
      <c r="H30" s="14">
        <f t="shared" si="2"/>
        <v>94.274698395588914</v>
      </c>
      <c r="I30" s="386">
        <v>18676</v>
      </c>
      <c r="J30" s="15">
        <f t="shared" si="3"/>
        <v>77.426309025330625</v>
      </c>
      <c r="K30" s="118">
        <v>21990</v>
      </c>
      <c r="L30" s="377">
        <v>20757</v>
      </c>
      <c r="M30" s="16">
        <f t="shared" si="4"/>
        <v>94.392905866302868</v>
      </c>
    </row>
    <row r="31" spans="1:13" x14ac:dyDescent="0.2">
      <c r="A31" s="431" t="s">
        <v>124</v>
      </c>
      <c r="B31" s="118">
        <v>10764</v>
      </c>
      <c r="C31" s="377">
        <v>7316</v>
      </c>
      <c r="D31" s="14">
        <f t="shared" si="0"/>
        <v>67.967298402081013</v>
      </c>
      <c r="E31" s="386">
        <v>7297</v>
      </c>
      <c r="F31" s="14">
        <f t="shared" si="1"/>
        <v>67.790784095131912</v>
      </c>
      <c r="G31" s="386">
        <v>10448</v>
      </c>
      <c r="H31" s="14">
        <f t="shared" si="2"/>
        <v>97.064288368636198</v>
      </c>
      <c r="I31" s="386">
        <v>7236</v>
      </c>
      <c r="J31" s="15">
        <f t="shared" si="3"/>
        <v>67.224080267558534</v>
      </c>
      <c r="K31" s="118">
        <v>10716</v>
      </c>
      <c r="L31" s="377">
        <v>6989</v>
      </c>
      <c r="M31" s="16">
        <f t="shared" si="4"/>
        <v>65.22023142963792</v>
      </c>
    </row>
    <row r="32" spans="1:13" x14ac:dyDescent="0.2">
      <c r="A32" s="366" t="s">
        <v>28</v>
      </c>
      <c r="B32" s="118">
        <v>25767</v>
      </c>
      <c r="C32" s="377">
        <f>19079+20+5815</f>
        <v>24914</v>
      </c>
      <c r="D32" s="14">
        <f t="shared" si="0"/>
        <v>96.689564171226763</v>
      </c>
      <c r="E32" s="386">
        <f>18714+1753+5823</f>
        <v>26290</v>
      </c>
      <c r="F32" s="14">
        <f t="shared" si="1"/>
        <v>102.02972794659837</v>
      </c>
      <c r="G32" s="386">
        <f>20713+1563+5757</f>
        <v>28033</v>
      </c>
      <c r="H32" s="14">
        <f t="shared" si="2"/>
        <v>108.79419412426748</v>
      </c>
      <c r="I32" s="386">
        <f>17411+1769+5888</f>
        <v>25068</v>
      </c>
      <c r="J32" s="15">
        <f t="shared" si="3"/>
        <v>97.287227849575046</v>
      </c>
      <c r="K32" s="118">
        <v>25955</v>
      </c>
      <c r="L32" s="377">
        <f>18881+1373+7605</f>
        <v>27859</v>
      </c>
      <c r="M32" s="16">
        <f t="shared" si="4"/>
        <v>107.3357734540551</v>
      </c>
    </row>
    <row r="33" spans="1:13" x14ac:dyDescent="0.2">
      <c r="A33" s="430" t="s">
        <v>127</v>
      </c>
      <c r="B33" s="379"/>
      <c r="C33" s="380"/>
      <c r="D33" s="341"/>
      <c r="E33" s="387"/>
      <c r="F33" s="341"/>
      <c r="G33" s="387"/>
      <c r="H33" s="341"/>
      <c r="I33" s="387"/>
      <c r="J33" s="350"/>
      <c r="K33" s="379"/>
      <c r="L33" s="380"/>
      <c r="M33" s="342"/>
    </row>
    <row r="34" spans="1:13" x14ac:dyDescent="0.2">
      <c r="A34" s="366" t="s">
        <v>29</v>
      </c>
      <c r="B34" s="118">
        <v>13605</v>
      </c>
      <c r="C34" s="377">
        <f>12152+883</f>
        <v>13035</v>
      </c>
      <c r="D34" s="14">
        <f t="shared" ref="D34:D47" si="5">C34/B34*100</f>
        <v>95.810363836824692</v>
      </c>
      <c r="E34" s="386">
        <f>12048+871</f>
        <v>12919</v>
      </c>
      <c r="F34" s="14">
        <f t="shared" ref="F34:F47" si="6">(E34/B34)*100</f>
        <v>94.957736126424109</v>
      </c>
      <c r="G34" s="386">
        <f>14633+1062</f>
        <v>15695</v>
      </c>
      <c r="H34" s="14">
        <f t="shared" ref="H34:H47" si="7">(G34/B34)*100</f>
        <v>115.36199926497612</v>
      </c>
      <c r="I34" s="386">
        <f>11020+784</f>
        <v>11804</v>
      </c>
      <c r="J34" s="15">
        <f t="shared" ref="J34:J47" si="8">(I34/B34)*100</f>
        <v>86.762219772142586</v>
      </c>
      <c r="K34" s="391">
        <v>13658</v>
      </c>
      <c r="L34" s="377">
        <f>11986+767</f>
        <v>12753</v>
      </c>
      <c r="M34" s="16">
        <f t="shared" ref="M34:M47" si="9">(L34/K34)*100</f>
        <v>93.373846829696888</v>
      </c>
    </row>
    <row r="35" spans="1:13" x14ac:dyDescent="0.2">
      <c r="A35" s="366" t="s">
        <v>30</v>
      </c>
      <c r="B35" s="118">
        <v>32263</v>
      </c>
      <c r="C35" s="377">
        <v>22795</v>
      </c>
      <c r="D35" s="14">
        <f t="shared" si="5"/>
        <v>70.653689985432237</v>
      </c>
      <c r="E35" s="386">
        <v>22764</v>
      </c>
      <c r="F35" s="14">
        <f t="shared" si="6"/>
        <v>70.557604686482961</v>
      </c>
      <c r="G35" s="386">
        <v>30514</v>
      </c>
      <c r="H35" s="14">
        <f t="shared" si="7"/>
        <v>94.578929423798158</v>
      </c>
      <c r="I35" s="386">
        <v>21790</v>
      </c>
      <c r="J35" s="15">
        <f t="shared" si="8"/>
        <v>67.538666584012645</v>
      </c>
      <c r="K35" s="118">
        <v>29202</v>
      </c>
      <c r="L35" s="377">
        <v>25519</v>
      </c>
      <c r="M35" s="16">
        <f t="shared" si="9"/>
        <v>87.387850147250191</v>
      </c>
    </row>
    <row r="36" spans="1:13" x14ac:dyDescent="0.2">
      <c r="A36" s="443" t="s">
        <v>125</v>
      </c>
      <c r="B36" s="118">
        <v>26703</v>
      </c>
      <c r="C36" s="378">
        <v>23527</v>
      </c>
      <c r="D36" s="14">
        <f t="shared" si="5"/>
        <v>88.106205295285179</v>
      </c>
      <c r="E36" s="386">
        <v>23488</v>
      </c>
      <c r="F36" s="14">
        <f t="shared" si="6"/>
        <v>87.960154289780178</v>
      </c>
      <c r="G36" s="386">
        <v>23657</v>
      </c>
      <c r="H36" s="14">
        <f t="shared" si="7"/>
        <v>88.593041980301834</v>
      </c>
      <c r="I36" s="386">
        <v>22484</v>
      </c>
      <c r="J36" s="15">
        <f t="shared" si="8"/>
        <v>84.200277122420701</v>
      </c>
      <c r="K36" s="118">
        <v>25611</v>
      </c>
      <c r="L36" s="377">
        <v>22002</v>
      </c>
      <c r="M36" s="16">
        <f t="shared" si="9"/>
        <v>85.908398734918592</v>
      </c>
    </row>
    <row r="37" spans="1:13" x14ac:dyDescent="0.2">
      <c r="A37" s="366" t="s">
        <v>31</v>
      </c>
      <c r="B37" s="118">
        <v>8418</v>
      </c>
      <c r="C37" s="377">
        <v>5201</v>
      </c>
      <c r="D37" s="14">
        <f t="shared" si="5"/>
        <v>61.784271798526966</v>
      </c>
      <c r="E37" s="386">
        <v>5079</v>
      </c>
      <c r="F37" s="14">
        <f t="shared" si="6"/>
        <v>60.334996436208122</v>
      </c>
      <c r="G37" s="386">
        <v>5051</v>
      </c>
      <c r="H37" s="14">
        <f t="shared" si="7"/>
        <v>60.002375861249703</v>
      </c>
      <c r="I37" s="386">
        <v>4721</v>
      </c>
      <c r="J37" s="15">
        <f t="shared" si="8"/>
        <v>56.082204799239719</v>
      </c>
      <c r="K37" s="118">
        <v>6392</v>
      </c>
      <c r="L37" s="377">
        <v>5097</v>
      </c>
      <c r="M37" s="16">
        <f t="shared" si="9"/>
        <v>79.740300375469346</v>
      </c>
    </row>
    <row r="38" spans="1:13" x14ac:dyDescent="0.2">
      <c r="A38" s="366" t="s">
        <v>32</v>
      </c>
      <c r="B38" s="118">
        <v>8993</v>
      </c>
      <c r="C38" s="377">
        <v>9182</v>
      </c>
      <c r="D38" s="14">
        <f t="shared" si="5"/>
        <v>102.10163460469255</v>
      </c>
      <c r="E38" s="386">
        <v>9180</v>
      </c>
      <c r="F38" s="14">
        <f t="shared" si="6"/>
        <v>102.07939508506615</v>
      </c>
      <c r="G38" s="386">
        <v>11492</v>
      </c>
      <c r="H38" s="14">
        <f t="shared" si="7"/>
        <v>127.7882797731569</v>
      </c>
      <c r="I38" s="386">
        <v>10428</v>
      </c>
      <c r="J38" s="15">
        <f t="shared" si="8"/>
        <v>115.95685533192483</v>
      </c>
      <c r="K38" s="118">
        <v>9107</v>
      </c>
      <c r="L38" s="377">
        <v>9700</v>
      </c>
      <c r="M38" s="16">
        <f t="shared" si="9"/>
        <v>106.51147468979904</v>
      </c>
    </row>
    <row r="39" spans="1:13" x14ac:dyDescent="0.2">
      <c r="A39" s="366" t="s">
        <v>33</v>
      </c>
      <c r="B39" s="118">
        <v>14183</v>
      </c>
      <c r="C39" s="377">
        <v>14414</v>
      </c>
      <c r="D39" s="14">
        <f t="shared" si="5"/>
        <v>101.62871042797717</v>
      </c>
      <c r="E39" s="386">
        <v>14313</v>
      </c>
      <c r="F39" s="14">
        <f t="shared" si="6"/>
        <v>100.916590284143</v>
      </c>
      <c r="G39" s="386">
        <v>17094</v>
      </c>
      <c r="H39" s="14">
        <f t="shared" si="7"/>
        <v>120.52457167030953</v>
      </c>
      <c r="I39" s="386">
        <v>13806</v>
      </c>
      <c r="J39" s="15">
        <f t="shared" si="8"/>
        <v>97.341888175985332</v>
      </c>
      <c r="K39" s="391">
        <v>17200</v>
      </c>
      <c r="L39" s="377">
        <v>16578</v>
      </c>
      <c r="M39" s="16">
        <f t="shared" si="9"/>
        <v>96.383720930232556</v>
      </c>
    </row>
    <row r="40" spans="1:13" x14ac:dyDescent="0.2">
      <c r="A40" s="366" t="s">
        <v>34</v>
      </c>
      <c r="B40" s="118">
        <v>1400</v>
      </c>
      <c r="C40" s="377">
        <v>1170</v>
      </c>
      <c r="D40" s="14">
        <f t="shared" si="5"/>
        <v>83.571428571428569</v>
      </c>
      <c r="E40" s="386">
        <v>1162</v>
      </c>
      <c r="F40" s="14">
        <f t="shared" si="6"/>
        <v>83</v>
      </c>
      <c r="G40" s="386">
        <v>1081</v>
      </c>
      <c r="H40" s="14">
        <f t="shared" si="7"/>
        <v>77.214285714285708</v>
      </c>
      <c r="I40" s="386">
        <v>957</v>
      </c>
      <c r="J40" s="15">
        <f t="shared" si="8"/>
        <v>68.357142857142861</v>
      </c>
      <c r="K40" s="118">
        <v>1622</v>
      </c>
      <c r="L40" s="377">
        <v>938</v>
      </c>
      <c r="M40" s="16">
        <f t="shared" si="9"/>
        <v>57.829839704069052</v>
      </c>
    </row>
    <row r="41" spans="1:13" x14ac:dyDescent="0.2">
      <c r="A41" s="366" t="s">
        <v>35</v>
      </c>
      <c r="B41" s="118">
        <v>42605</v>
      </c>
      <c r="C41" s="377">
        <v>30411</v>
      </c>
      <c r="D41" s="14">
        <f t="shared" si="5"/>
        <v>71.378946133082977</v>
      </c>
      <c r="E41" s="386">
        <v>30214</v>
      </c>
      <c r="F41" s="14">
        <f t="shared" si="6"/>
        <v>70.916559089308763</v>
      </c>
      <c r="G41" s="386">
        <v>37536</v>
      </c>
      <c r="H41" s="14">
        <f t="shared" si="7"/>
        <v>88.102335406642425</v>
      </c>
      <c r="I41" s="386">
        <v>29157</v>
      </c>
      <c r="J41" s="15">
        <f t="shared" si="8"/>
        <v>68.43562962093651</v>
      </c>
      <c r="K41" s="118">
        <v>41930</v>
      </c>
      <c r="L41" s="377">
        <v>33266</v>
      </c>
      <c r="M41" s="16">
        <f t="shared" si="9"/>
        <v>79.336990221798231</v>
      </c>
    </row>
    <row r="42" spans="1:13" x14ac:dyDescent="0.2">
      <c r="A42" s="366" t="s">
        <v>36</v>
      </c>
      <c r="B42" s="118">
        <v>17836</v>
      </c>
      <c r="C42" s="377">
        <v>15832</v>
      </c>
      <c r="D42" s="14">
        <f t="shared" si="5"/>
        <v>88.764296927562242</v>
      </c>
      <c r="E42" s="386">
        <v>14784</v>
      </c>
      <c r="F42" s="14">
        <f t="shared" si="6"/>
        <v>82.88854003139717</v>
      </c>
      <c r="G42" s="386">
        <v>16426</v>
      </c>
      <c r="H42" s="14">
        <f t="shared" si="7"/>
        <v>92.094640053823724</v>
      </c>
      <c r="I42" s="386">
        <v>14475</v>
      </c>
      <c r="J42" s="15">
        <f t="shared" si="8"/>
        <v>81.156088809150035</v>
      </c>
      <c r="K42" s="118">
        <v>16101</v>
      </c>
      <c r="L42" s="377">
        <v>13930</v>
      </c>
      <c r="M42" s="16">
        <f t="shared" si="9"/>
        <v>86.516365443140174</v>
      </c>
    </row>
    <row r="43" spans="1:13" x14ac:dyDescent="0.2">
      <c r="A43" s="366" t="s">
        <v>37</v>
      </c>
      <c r="B43" s="118">
        <v>27562</v>
      </c>
      <c r="C43" s="377">
        <v>21680</v>
      </c>
      <c r="D43" s="14">
        <f t="shared" si="5"/>
        <v>78.659023292939551</v>
      </c>
      <c r="E43" s="386">
        <v>21016</v>
      </c>
      <c r="F43" s="14">
        <f t="shared" si="6"/>
        <v>76.249909295406709</v>
      </c>
      <c r="G43" s="386">
        <v>21629</v>
      </c>
      <c r="H43" s="14">
        <f t="shared" si="7"/>
        <v>78.473985922647131</v>
      </c>
      <c r="I43" s="386">
        <v>25728</v>
      </c>
      <c r="J43" s="15">
        <f t="shared" si="8"/>
        <v>93.345911036934908</v>
      </c>
      <c r="K43" s="391">
        <v>26488</v>
      </c>
      <c r="L43" s="377">
        <v>23608</v>
      </c>
      <c r="M43" s="16">
        <f t="shared" si="9"/>
        <v>89.127151917849588</v>
      </c>
    </row>
    <row r="44" spans="1:13" x14ac:dyDescent="0.2">
      <c r="A44" s="366" t="s">
        <v>38</v>
      </c>
      <c r="B44" s="118">
        <f>40935+39549</f>
        <v>80484</v>
      </c>
      <c r="C44" s="377">
        <f>32895+35103</f>
        <v>67998</v>
      </c>
      <c r="D44" s="14">
        <f t="shared" si="5"/>
        <v>84.48635753690175</v>
      </c>
      <c r="E44" s="386">
        <f>33573+32054</f>
        <v>65627</v>
      </c>
      <c r="F44" s="14">
        <f t="shared" si="6"/>
        <v>81.540430396103574</v>
      </c>
      <c r="G44" s="386">
        <f>36594+39816</f>
        <v>76410</v>
      </c>
      <c r="H44" s="14">
        <f t="shared" si="7"/>
        <v>94.938124347696444</v>
      </c>
      <c r="I44" s="386">
        <f>36594+39816</f>
        <v>76410</v>
      </c>
      <c r="J44" s="15">
        <f t="shared" si="8"/>
        <v>94.938124347696444</v>
      </c>
      <c r="K44" s="118">
        <f>41210+39722</f>
        <v>80932</v>
      </c>
      <c r="L44" s="377">
        <f>49934+21277</f>
        <v>71211</v>
      </c>
      <c r="M44" s="16">
        <f t="shared" si="9"/>
        <v>87.988681856373248</v>
      </c>
    </row>
    <row r="45" spans="1:13" x14ac:dyDescent="0.2">
      <c r="A45" s="366" t="s">
        <v>39</v>
      </c>
      <c r="B45" s="118">
        <v>1120</v>
      </c>
      <c r="C45" s="377">
        <v>367</v>
      </c>
      <c r="D45" s="14">
        <f t="shared" si="5"/>
        <v>32.767857142857146</v>
      </c>
      <c r="E45" s="386">
        <v>424</v>
      </c>
      <c r="F45" s="14">
        <f t="shared" si="6"/>
        <v>37.857142857142854</v>
      </c>
      <c r="G45" s="386">
        <v>536</v>
      </c>
      <c r="H45" s="14">
        <f t="shared" si="7"/>
        <v>47.857142857142861</v>
      </c>
      <c r="I45" s="386">
        <v>357</v>
      </c>
      <c r="J45" s="15">
        <f t="shared" si="8"/>
        <v>31.874999999999996</v>
      </c>
      <c r="K45" s="118">
        <v>1261</v>
      </c>
      <c r="L45" s="377">
        <v>602</v>
      </c>
      <c r="M45" s="16">
        <f t="shared" si="9"/>
        <v>47.73988897700238</v>
      </c>
    </row>
    <row r="46" spans="1:13" ht="13.5" thickBot="1" x14ac:dyDescent="0.25">
      <c r="A46" s="368" t="s">
        <v>40</v>
      </c>
      <c r="B46" s="381">
        <v>1176</v>
      </c>
      <c r="C46" s="382">
        <v>744</v>
      </c>
      <c r="D46" s="369">
        <f t="shared" si="5"/>
        <v>63.265306122448983</v>
      </c>
      <c r="E46" s="388">
        <v>704</v>
      </c>
      <c r="F46" s="369">
        <f t="shared" si="6"/>
        <v>59.863945578231295</v>
      </c>
      <c r="G46" s="388">
        <v>1143</v>
      </c>
      <c r="H46" s="369">
        <f t="shared" si="7"/>
        <v>97.193877551020407</v>
      </c>
      <c r="I46" s="388">
        <v>720</v>
      </c>
      <c r="J46" s="370">
        <f t="shared" si="8"/>
        <v>61.224489795918366</v>
      </c>
      <c r="K46" s="381">
        <v>1303</v>
      </c>
      <c r="L46" s="382">
        <v>1098</v>
      </c>
      <c r="M46" s="371">
        <f t="shared" si="9"/>
        <v>84.26707597851113</v>
      </c>
    </row>
    <row r="47" spans="1:13" ht="13.5" thickBot="1" x14ac:dyDescent="0.25">
      <c r="A47" s="372" t="s">
        <v>41</v>
      </c>
      <c r="B47" s="383">
        <f>SUM(B11:B46)</f>
        <v>891493</v>
      </c>
      <c r="C47" s="384">
        <f>SUM(C11:C46)</f>
        <v>755571</v>
      </c>
      <c r="D47" s="373">
        <f t="shared" si="5"/>
        <v>84.753441698364426</v>
      </c>
      <c r="E47" s="389">
        <f>SUM(E11:E46)</f>
        <v>747699</v>
      </c>
      <c r="F47" s="373">
        <f t="shared" si="6"/>
        <v>83.87042859562554</v>
      </c>
      <c r="G47" s="389">
        <f>SUM(G11:G46)</f>
        <v>872423</v>
      </c>
      <c r="H47" s="373">
        <f t="shared" si="7"/>
        <v>97.860891784904652</v>
      </c>
      <c r="I47" s="389">
        <f>SUM(I11:I46)</f>
        <v>755997</v>
      </c>
      <c r="J47" s="374">
        <f t="shared" si="8"/>
        <v>84.801226706210826</v>
      </c>
      <c r="K47" s="383">
        <f>SUM(K11:K46)</f>
        <v>850546</v>
      </c>
      <c r="L47" s="384">
        <f>SUM(L11:L46)</f>
        <v>758087</v>
      </c>
      <c r="M47" s="375">
        <f t="shared" si="9"/>
        <v>89.129453315870037</v>
      </c>
    </row>
  </sheetData>
  <mergeCells count="1">
    <mergeCell ref="B8:M8"/>
  </mergeCells>
  <phoneticPr fontId="11" type="noConversion"/>
  <printOptions horizontalCentered="1" verticalCentered="1"/>
  <pageMargins left="0.23622047244094491" right="0.27559055118110237" top="0.27559055118110237" bottom="0.15748031496062992" header="0" footer="0"/>
  <pageSetup scale="95" orientation="landscape" horizontalDpi="4294967295" verticalDpi="4294967295" r:id="rId1"/>
  <headerFooter alignWithMargins="0">
    <oddHeader>&amp;L     &amp;G&amp;C&amp;"Arial,Negrita"MINISTERIO DE LA PROTECCION SOCIAL
República de Colombia
Dirección General de Salud Pública
Programa Ampliado de Inmunizaciones - PAI</oddHeader>
    <oddFooter>&amp;L      &amp;P&amp;C&amp;F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6"/>
  </sheetPr>
  <dimension ref="A5:M47"/>
  <sheetViews>
    <sheetView zoomScale="90" zoomScaleNormal="90" workbookViewId="0">
      <pane xSplit="2" ySplit="10" topLeftCell="C11" activePane="bottomRight" state="frozen"/>
      <selection activeCell="A4" sqref="A4"/>
      <selection pane="topRight" activeCell="A4" sqref="A4"/>
      <selection pane="bottomLeft" activeCell="A4" sqref="A4"/>
      <selection pane="bottomRight" activeCell="C11" sqref="C11"/>
    </sheetView>
  </sheetViews>
  <sheetFormatPr baseColWidth="10" defaultRowHeight="12.75" x14ac:dyDescent="0.2"/>
  <cols>
    <col min="1" max="1" width="21" style="17" customWidth="1"/>
    <col min="2" max="2" width="12.42578125" style="17" bestFit="1" customWidth="1"/>
    <col min="3" max="3" width="11.28515625" style="17" bestFit="1" customWidth="1"/>
    <col min="4" max="4" width="6.5703125" style="17" bestFit="1" customWidth="1"/>
    <col min="5" max="5" width="11.28515625" style="17" bestFit="1" customWidth="1"/>
    <col min="6" max="6" width="6.42578125" style="17" bestFit="1" customWidth="1"/>
    <col min="7" max="7" width="11.28515625" style="17" bestFit="1" customWidth="1"/>
    <col min="8" max="8" width="6.42578125" style="17" bestFit="1" customWidth="1"/>
    <col min="9" max="9" width="11.28515625" style="17" customWidth="1"/>
    <col min="10" max="10" width="6.42578125" style="17" bestFit="1" customWidth="1"/>
    <col min="11" max="11" width="13.140625" style="17" bestFit="1" customWidth="1"/>
    <col min="12" max="12" width="9" style="17" customWidth="1"/>
    <col min="13" max="13" width="6.42578125" style="17" bestFit="1" customWidth="1"/>
    <col min="14" max="16384" width="11.42578125" style="17"/>
  </cols>
  <sheetData>
    <row r="5" spans="1:13" x14ac:dyDescent="0.2">
      <c r="A5" s="702" t="s">
        <v>305</v>
      </c>
      <c r="B5" s="753" t="s">
        <v>325</v>
      </c>
    </row>
    <row r="6" spans="1:13" x14ac:dyDescent="0.2">
      <c r="A6" s="702" t="s">
        <v>306</v>
      </c>
      <c r="B6" s="776">
        <v>36170</v>
      </c>
    </row>
    <row r="7" spans="1:13" x14ac:dyDescent="0.2">
      <c r="A7" s="702" t="s">
        <v>307</v>
      </c>
      <c r="B7" s="766" t="s">
        <v>312</v>
      </c>
    </row>
    <row r="8" spans="1:13" ht="13.5" thickBot="1" x14ac:dyDescent="0.25">
      <c r="A8" s="1862" t="s">
        <v>72</v>
      </c>
      <c r="B8" s="1862"/>
      <c r="C8" s="1862"/>
      <c r="D8" s="1862"/>
      <c r="E8" s="1862"/>
      <c r="F8" s="1862"/>
      <c r="G8" s="1862"/>
      <c r="H8" s="1862"/>
      <c r="I8" s="1862"/>
      <c r="J8" s="1862"/>
      <c r="K8" s="1862"/>
      <c r="L8" s="1862"/>
      <c r="M8" s="1862"/>
    </row>
    <row r="9" spans="1:13" ht="16.5" customHeight="1" thickBot="1" x14ac:dyDescent="0.25">
      <c r="A9" s="9" t="s">
        <v>1</v>
      </c>
      <c r="B9" s="9" t="s">
        <v>68</v>
      </c>
      <c r="C9" s="18" t="s">
        <v>3</v>
      </c>
      <c r="D9" s="18"/>
      <c r="E9" s="18" t="s">
        <v>6</v>
      </c>
      <c r="F9" s="18"/>
      <c r="G9" s="18" t="s">
        <v>7</v>
      </c>
      <c r="H9" s="18"/>
      <c r="I9" s="24" t="s">
        <v>73</v>
      </c>
      <c r="J9" s="25"/>
      <c r="K9" s="27" t="s">
        <v>70</v>
      </c>
      <c r="L9" s="18" t="s">
        <v>55</v>
      </c>
      <c r="M9" s="18"/>
    </row>
    <row r="10" spans="1:13" ht="20.25" customHeight="1" thickBot="1" x14ac:dyDescent="0.25">
      <c r="A10" s="364"/>
      <c r="B10" s="33" t="s">
        <v>74</v>
      </c>
      <c r="C10" s="33" t="s">
        <v>57</v>
      </c>
      <c r="D10" s="33" t="s">
        <v>5</v>
      </c>
      <c r="E10" s="33" t="s">
        <v>57</v>
      </c>
      <c r="F10" s="33" t="s">
        <v>5</v>
      </c>
      <c r="G10" s="33" t="s">
        <v>75</v>
      </c>
      <c r="H10" s="33" t="s">
        <v>5</v>
      </c>
      <c r="I10" s="33" t="s">
        <v>57</v>
      </c>
      <c r="J10" s="33" t="s">
        <v>5</v>
      </c>
      <c r="K10" s="35" t="s">
        <v>76</v>
      </c>
      <c r="L10" s="33" t="s">
        <v>77</v>
      </c>
      <c r="M10" s="33" t="s">
        <v>5</v>
      </c>
    </row>
    <row r="11" spans="1:13" x14ac:dyDescent="0.2">
      <c r="A11" s="365" t="s">
        <v>12</v>
      </c>
      <c r="B11" s="397">
        <v>2260</v>
      </c>
      <c r="C11" s="398">
        <v>1077</v>
      </c>
      <c r="D11" s="11">
        <f>C11/B11*100</f>
        <v>47.654867256637168</v>
      </c>
      <c r="E11" s="393">
        <v>1137</v>
      </c>
      <c r="F11" s="11">
        <f>(E11/B11)*100</f>
        <v>50.309734513274343</v>
      </c>
      <c r="G11" s="393">
        <v>1337</v>
      </c>
      <c r="H11" s="11">
        <f>(G11/B11)*100</f>
        <v>59.159292035398224</v>
      </c>
      <c r="I11" s="393">
        <v>1091</v>
      </c>
      <c r="J11" s="12">
        <f>(I11/B11)*100</f>
        <v>48.274336283185839</v>
      </c>
      <c r="K11" s="408">
        <v>2124</v>
      </c>
      <c r="L11" s="398">
        <v>1222</v>
      </c>
      <c r="M11" s="13">
        <f>(L11/K11)*100</f>
        <v>57.532956685499059</v>
      </c>
    </row>
    <row r="12" spans="1:13" x14ac:dyDescent="0.2">
      <c r="A12" s="562" t="s">
        <v>11</v>
      </c>
      <c r="B12" s="399">
        <v>102408</v>
      </c>
      <c r="C12" s="400">
        <v>81671</v>
      </c>
      <c r="D12" s="14">
        <f>C12/B12*100</f>
        <v>79.750605421451453</v>
      </c>
      <c r="E12" s="394">
        <v>78277</v>
      </c>
      <c r="F12" s="14">
        <f>(E12/B12)*100</f>
        <v>76.436411217873598</v>
      </c>
      <c r="G12" s="394">
        <v>96672</v>
      </c>
      <c r="H12" s="14">
        <f>(G12/B12)*100</f>
        <v>94.398875087883766</v>
      </c>
      <c r="I12" s="394">
        <v>83631</v>
      </c>
      <c r="J12" s="15">
        <f>(I12/B12)*100</f>
        <v>81.664518397000236</v>
      </c>
      <c r="K12" s="399">
        <v>95547</v>
      </c>
      <c r="L12" s="400">
        <v>89261</v>
      </c>
      <c r="M12" s="16">
        <f>(L12/K12)*100</f>
        <v>93.421038860456107</v>
      </c>
    </row>
    <row r="13" spans="1:13" x14ac:dyDescent="0.2">
      <c r="A13" s="562" t="s">
        <v>13</v>
      </c>
      <c r="B13" s="399">
        <v>6812</v>
      </c>
      <c r="C13" s="401">
        <v>3804</v>
      </c>
      <c r="D13" s="14">
        <f>C13/B13*100</f>
        <v>55.842630651790955</v>
      </c>
      <c r="E13" s="394">
        <v>3796</v>
      </c>
      <c r="F13" s="14">
        <f>(E13/B13)*100</f>
        <v>55.725190839694662</v>
      </c>
      <c r="G13" s="394">
        <v>3811</v>
      </c>
      <c r="H13" s="14">
        <f>(G13/B13)*100</f>
        <v>55.945390487375221</v>
      </c>
      <c r="I13" s="394">
        <v>3808</v>
      </c>
      <c r="J13" s="15">
        <f>(I13/B13)*100</f>
        <v>55.901350557839102</v>
      </c>
      <c r="K13" s="399">
        <v>6442</v>
      </c>
      <c r="L13" s="400">
        <v>3199</v>
      </c>
      <c r="M13" s="16">
        <f>(L13/K13)*100</f>
        <v>49.658491151816207</v>
      </c>
    </row>
    <row r="14" spans="1:13" x14ac:dyDescent="0.2">
      <c r="A14" s="562" t="s">
        <v>14</v>
      </c>
      <c r="B14" s="399">
        <v>19575</v>
      </c>
      <c r="C14" s="400">
        <v>30473</v>
      </c>
      <c r="D14" s="14">
        <f>C14/B14*100</f>
        <v>155.67305236270755</v>
      </c>
      <c r="E14" s="394">
        <v>28533</v>
      </c>
      <c r="F14" s="14">
        <f>(E14/B14)*100</f>
        <v>145.7624521072797</v>
      </c>
      <c r="G14" s="394">
        <v>37443</v>
      </c>
      <c r="H14" s="14">
        <f>(G14/B14)*100</f>
        <v>191.27969348659005</v>
      </c>
      <c r="I14" s="394">
        <v>27962</v>
      </c>
      <c r="J14" s="15">
        <f>(I14/B14)*100</f>
        <v>142.84546615581098</v>
      </c>
      <c r="K14" s="399">
        <v>19440</v>
      </c>
      <c r="L14" s="400">
        <v>27747</v>
      </c>
      <c r="M14" s="16">
        <f>(L14/K14)*100</f>
        <v>142.7314814814815</v>
      </c>
    </row>
    <row r="15" spans="1:13" x14ac:dyDescent="0.2">
      <c r="A15" s="469" t="s">
        <v>115</v>
      </c>
      <c r="B15" s="402"/>
      <c r="C15" s="403"/>
      <c r="D15" s="341"/>
      <c r="E15" s="395"/>
      <c r="F15" s="341"/>
      <c r="G15" s="395"/>
      <c r="H15" s="341"/>
      <c r="I15" s="395"/>
      <c r="J15" s="350"/>
      <c r="K15" s="402"/>
      <c r="L15" s="403"/>
      <c r="M15" s="342"/>
    </row>
    <row r="16" spans="1:13" x14ac:dyDescent="0.2">
      <c r="A16" s="562" t="s">
        <v>15</v>
      </c>
      <c r="B16" s="399">
        <v>136798</v>
      </c>
      <c r="C16" s="401">
        <v>110484</v>
      </c>
      <c r="D16" s="14">
        <f>C16/B16*100</f>
        <v>80.764338659921933</v>
      </c>
      <c r="E16" s="394">
        <v>107156</v>
      </c>
      <c r="F16" s="14">
        <f>(E16/B16)*100</f>
        <v>78.331554554891156</v>
      </c>
      <c r="G16" s="394">
        <v>139769</v>
      </c>
      <c r="H16" s="14">
        <f>(G16/B16)*100</f>
        <v>102.1718153774178</v>
      </c>
      <c r="I16" s="394">
        <v>117771</v>
      </c>
      <c r="J16" s="15">
        <f>(I16/B16)*100</f>
        <v>86.091170923551516</v>
      </c>
      <c r="K16" s="399">
        <v>136153</v>
      </c>
      <c r="L16" s="400">
        <v>133920</v>
      </c>
      <c r="M16" s="16">
        <f>(L16/K16)*100</f>
        <v>98.359933310320002</v>
      </c>
    </row>
    <row r="17" spans="1:13" x14ac:dyDescent="0.2">
      <c r="A17" s="562" t="s">
        <v>62</v>
      </c>
      <c r="B17" s="399">
        <v>30031</v>
      </c>
      <c r="C17" s="400">
        <v>32879</v>
      </c>
      <c r="D17" s="14">
        <f>C17/B17*100</f>
        <v>109.48353368186207</v>
      </c>
      <c r="E17" s="394">
        <v>30759</v>
      </c>
      <c r="F17" s="14">
        <f>(E17/B17)*100</f>
        <v>102.42416169957711</v>
      </c>
      <c r="G17" s="394">
        <v>38348</v>
      </c>
      <c r="H17" s="14">
        <f>(G17/B17)*100</f>
        <v>127.69471546069062</v>
      </c>
      <c r="I17" s="394">
        <v>30996</v>
      </c>
      <c r="J17" s="15">
        <f>(I17/B17)*100</f>
        <v>103.21334620891744</v>
      </c>
      <c r="K17" s="399">
        <v>28694</v>
      </c>
      <c r="L17" s="400">
        <v>29808</v>
      </c>
      <c r="M17" s="16">
        <f>(L17/K17)*100</f>
        <v>103.88234474106083</v>
      </c>
    </row>
    <row r="18" spans="1:13" x14ac:dyDescent="0.2">
      <c r="A18" s="469" t="s">
        <v>45</v>
      </c>
      <c r="B18" s="402"/>
      <c r="C18" s="403"/>
      <c r="D18" s="341"/>
      <c r="E18" s="395"/>
      <c r="F18" s="341"/>
      <c r="G18" s="395"/>
      <c r="H18" s="341"/>
      <c r="I18" s="395"/>
      <c r="J18" s="350"/>
      <c r="K18" s="402"/>
      <c r="L18" s="403"/>
      <c r="M18" s="342"/>
    </row>
    <row r="19" spans="1:13" x14ac:dyDescent="0.2">
      <c r="A19" s="562" t="s">
        <v>17</v>
      </c>
      <c r="B19" s="399">
        <v>33394</v>
      </c>
      <c r="C19" s="400">
        <v>24407</v>
      </c>
      <c r="D19" s="14">
        <f t="shared" ref="D19:D32" si="0">C19/B19*100</f>
        <v>73.087979876624544</v>
      </c>
      <c r="E19" s="394">
        <v>24249</v>
      </c>
      <c r="F19" s="14">
        <f t="shared" ref="F19:F32" si="1">(E19/B19)*100</f>
        <v>72.614840989399298</v>
      </c>
      <c r="G19" s="394">
        <v>26942</v>
      </c>
      <c r="H19" s="14">
        <f t="shared" ref="H19:H32" si="2">(G19/B19)*100</f>
        <v>80.679163921662578</v>
      </c>
      <c r="I19" s="394">
        <v>24354</v>
      </c>
      <c r="J19" s="15">
        <f t="shared" ref="J19:J32" si="3">(I19/B19)*100</f>
        <v>72.92926873090974</v>
      </c>
      <c r="K19" s="399">
        <v>33304</v>
      </c>
      <c r="L19" s="400">
        <v>22958</v>
      </c>
      <c r="M19" s="16">
        <f t="shared" ref="M19:M32" si="4">(L19/K19)*100</f>
        <v>68.934662503002642</v>
      </c>
    </row>
    <row r="20" spans="1:13" x14ac:dyDescent="0.2">
      <c r="A20" s="562" t="s">
        <v>19</v>
      </c>
      <c r="B20" s="399">
        <v>21633</v>
      </c>
      <c r="C20" s="400">
        <v>17632</v>
      </c>
      <c r="D20" s="14">
        <f t="shared" si="0"/>
        <v>81.505107936948178</v>
      </c>
      <c r="E20" s="394">
        <v>17537</v>
      </c>
      <c r="F20" s="14">
        <f t="shared" si="1"/>
        <v>81.065964036425825</v>
      </c>
      <c r="G20" s="394">
        <v>18105</v>
      </c>
      <c r="H20" s="14">
        <f t="shared" si="2"/>
        <v>83.691582304812101</v>
      </c>
      <c r="I20" s="394">
        <v>18543</v>
      </c>
      <c r="J20" s="15">
        <f t="shared" si="3"/>
        <v>85.71626681458882</v>
      </c>
      <c r="K20" s="399">
        <v>20392</v>
      </c>
      <c r="L20" s="400">
        <v>17999</v>
      </c>
      <c r="M20" s="16">
        <f t="shared" si="4"/>
        <v>88.265005884660653</v>
      </c>
    </row>
    <row r="21" spans="1:13" x14ac:dyDescent="0.2">
      <c r="A21" s="562" t="s">
        <v>63</v>
      </c>
      <c r="B21" s="399">
        <v>12735</v>
      </c>
      <c r="C21" s="401">
        <v>10580</v>
      </c>
      <c r="D21" s="14">
        <f t="shared" si="0"/>
        <v>83.078131134668226</v>
      </c>
      <c r="E21" s="394">
        <v>11023</v>
      </c>
      <c r="F21" s="14">
        <f t="shared" si="1"/>
        <v>86.556733411857095</v>
      </c>
      <c r="G21" s="394">
        <v>9643</v>
      </c>
      <c r="H21" s="14">
        <f t="shared" si="2"/>
        <v>75.720455437769928</v>
      </c>
      <c r="I21" s="394">
        <v>10279</v>
      </c>
      <c r="J21" s="15">
        <f t="shared" si="3"/>
        <v>80.714566156262265</v>
      </c>
      <c r="K21" s="409">
        <v>12654</v>
      </c>
      <c r="L21" s="400">
        <v>10260</v>
      </c>
      <c r="M21" s="16">
        <f t="shared" si="4"/>
        <v>81.081081081081081</v>
      </c>
    </row>
    <row r="22" spans="1:13" x14ac:dyDescent="0.2">
      <c r="A22" s="562" t="s">
        <v>21</v>
      </c>
      <c r="B22" s="399">
        <v>6779</v>
      </c>
      <c r="C22" s="400">
        <v>6452</v>
      </c>
      <c r="D22" s="14">
        <f t="shared" si="0"/>
        <v>95.176279687269499</v>
      </c>
      <c r="E22" s="394">
        <v>6468</v>
      </c>
      <c r="F22" s="14">
        <f t="shared" si="1"/>
        <v>95.412302699513205</v>
      </c>
      <c r="G22" s="394">
        <v>6862</v>
      </c>
      <c r="H22" s="14">
        <f t="shared" si="2"/>
        <v>101.22436937601415</v>
      </c>
      <c r="I22" s="394">
        <v>6233</v>
      </c>
      <c r="J22" s="15">
        <f t="shared" si="3"/>
        <v>91.945714707183939</v>
      </c>
      <c r="K22" s="399">
        <v>6729</v>
      </c>
      <c r="L22" s="400">
        <v>5776</v>
      </c>
      <c r="M22" s="16">
        <f t="shared" si="4"/>
        <v>85.837420121860603</v>
      </c>
    </row>
    <row r="23" spans="1:13" x14ac:dyDescent="0.2">
      <c r="A23" s="562" t="s">
        <v>18</v>
      </c>
      <c r="B23" s="399">
        <v>34178</v>
      </c>
      <c r="C23" s="400">
        <v>21517</v>
      </c>
      <c r="D23" s="14">
        <f t="shared" si="0"/>
        <v>62.955702498683365</v>
      </c>
      <c r="E23" s="394">
        <v>19599</v>
      </c>
      <c r="F23" s="14">
        <f t="shared" si="1"/>
        <v>57.343905436245535</v>
      </c>
      <c r="G23" s="394">
        <v>23397</v>
      </c>
      <c r="H23" s="14">
        <f t="shared" si="2"/>
        <v>68.456316929018669</v>
      </c>
      <c r="I23" s="394">
        <v>20486</v>
      </c>
      <c r="J23" s="15">
        <f t="shared" si="3"/>
        <v>59.939142138217569</v>
      </c>
      <c r="K23" s="399">
        <v>33258</v>
      </c>
      <c r="L23" s="400">
        <v>21799</v>
      </c>
      <c r="M23" s="16">
        <f t="shared" si="4"/>
        <v>65.545131998316194</v>
      </c>
    </row>
    <row r="24" spans="1:13" x14ac:dyDescent="0.2">
      <c r="A24" s="562" t="s">
        <v>22</v>
      </c>
      <c r="B24" s="399">
        <v>26391</v>
      </c>
      <c r="C24" s="400">
        <v>19603</v>
      </c>
      <c r="D24" s="14">
        <f t="shared" si="0"/>
        <v>74.279110302754731</v>
      </c>
      <c r="E24" s="394">
        <v>19345</v>
      </c>
      <c r="F24" s="14">
        <f t="shared" si="1"/>
        <v>73.301504300708572</v>
      </c>
      <c r="G24" s="394">
        <v>19185</v>
      </c>
      <c r="H24" s="14">
        <f t="shared" si="2"/>
        <v>72.695237012617937</v>
      </c>
      <c r="I24" s="394">
        <v>18478</v>
      </c>
      <c r="J24" s="15">
        <f t="shared" si="3"/>
        <v>70.016293433367437</v>
      </c>
      <c r="K24" s="399">
        <v>26015</v>
      </c>
      <c r="L24" s="400">
        <v>18553</v>
      </c>
      <c r="M24" s="16">
        <f t="shared" si="4"/>
        <v>71.316548145300786</v>
      </c>
    </row>
    <row r="25" spans="1:13" x14ac:dyDescent="0.2">
      <c r="A25" s="562" t="s">
        <v>24</v>
      </c>
      <c r="B25" s="399">
        <v>11832</v>
      </c>
      <c r="C25" s="400">
        <v>9810</v>
      </c>
      <c r="D25" s="14">
        <f t="shared" si="0"/>
        <v>82.910750507099394</v>
      </c>
      <c r="E25" s="394">
        <v>9706</v>
      </c>
      <c r="F25" s="14">
        <f t="shared" si="1"/>
        <v>82.031778228532787</v>
      </c>
      <c r="G25" s="394">
        <v>9857</v>
      </c>
      <c r="H25" s="14">
        <f t="shared" si="2"/>
        <v>83.30797836375929</v>
      </c>
      <c r="I25" s="394">
        <v>9509</v>
      </c>
      <c r="J25" s="15">
        <f t="shared" si="3"/>
        <v>80.366801893171058</v>
      </c>
      <c r="K25" s="409">
        <v>9864</v>
      </c>
      <c r="L25" s="400">
        <v>9921</v>
      </c>
      <c r="M25" s="16">
        <f t="shared" si="4"/>
        <v>100.57785888077859</v>
      </c>
    </row>
    <row r="26" spans="1:13" x14ac:dyDescent="0.2">
      <c r="A26" s="562" t="s">
        <v>64</v>
      </c>
      <c r="B26" s="399">
        <v>39204</v>
      </c>
      <c r="C26" s="400">
        <v>30793</v>
      </c>
      <c r="D26" s="14">
        <f t="shared" si="0"/>
        <v>78.545556575859607</v>
      </c>
      <c r="E26" s="394">
        <v>30110</v>
      </c>
      <c r="F26" s="14">
        <f t="shared" si="1"/>
        <v>76.803387409448021</v>
      </c>
      <c r="G26" s="394">
        <v>30778</v>
      </c>
      <c r="H26" s="14">
        <f t="shared" si="2"/>
        <v>78.50729517396185</v>
      </c>
      <c r="I26" s="394">
        <v>30410</v>
      </c>
      <c r="J26" s="15">
        <f t="shared" si="3"/>
        <v>77.568615447403317</v>
      </c>
      <c r="K26" s="399">
        <v>36461</v>
      </c>
      <c r="L26" s="400">
        <v>27871</v>
      </c>
      <c r="M26" s="16">
        <f t="shared" si="4"/>
        <v>76.440580346123255</v>
      </c>
    </row>
    <row r="27" spans="1:13" x14ac:dyDescent="0.2">
      <c r="A27" s="367" t="s">
        <v>122</v>
      </c>
      <c r="B27" s="399">
        <v>40321</v>
      </c>
      <c r="C27" s="400">
        <v>35853</v>
      </c>
      <c r="D27" s="14">
        <f t="shared" si="0"/>
        <v>88.918925621884384</v>
      </c>
      <c r="E27" s="394">
        <v>35477</v>
      </c>
      <c r="F27" s="14">
        <f t="shared" si="1"/>
        <v>87.986409067235442</v>
      </c>
      <c r="G27" s="394">
        <v>38741</v>
      </c>
      <c r="H27" s="14">
        <f t="shared" si="2"/>
        <v>96.081446392698595</v>
      </c>
      <c r="I27" s="394">
        <v>35271</v>
      </c>
      <c r="J27" s="15">
        <f t="shared" si="3"/>
        <v>87.475509039954375</v>
      </c>
      <c r="K27" s="399">
        <v>41031</v>
      </c>
      <c r="L27" s="400">
        <v>34734</v>
      </c>
      <c r="M27" s="16">
        <f t="shared" si="4"/>
        <v>84.653067193097897</v>
      </c>
    </row>
    <row r="28" spans="1:13" x14ac:dyDescent="0.2">
      <c r="A28" s="562" t="s">
        <v>65</v>
      </c>
      <c r="B28" s="399">
        <v>1205</v>
      </c>
      <c r="C28" s="400">
        <v>813</v>
      </c>
      <c r="D28" s="14">
        <f t="shared" si="0"/>
        <v>67.468879668049794</v>
      </c>
      <c r="E28" s="394">
        <v>731</v>
      </c>
      <c r="F28" s="14">
        <f t="shared" si="1"/>
        <v>60.663900414937757</v>
      </c>
      <c r="G28" s="394">
        <v>488</v>
      </c>
      <c r="H28" s="14">
        <f t="shared" si="2"/>
        <v>40.497925311203318</v>
      </c>
      <c r="I28" s="394">
        <v>621</v>
      </c>
      <c r="J28" s="15">
        <f t="shared" si="3"/>
        <v>51.535269709543563</v>
      </c>
      <c r="K28" s="399">
        <v>1044</v>
      </c>
      <c r="L28" s="400">
        <v>391</v>
      </c>
      <c r="M28" s="16">
        <f t="shared" si="4"/>
        <v>37.452107279693486</v>
      </c>
    </row>
    <row r="29" spans="1:13" x14ac:dyDescent="0.2">
      <c r="A29" s="562" t="s">
        <v>26</v>
      </c>
      <c r="B29" s="399">
        <v>4358</v>
      </c>
      <c r="C29" s="400">
        <v>3835</v>
      </c>
      <c r="D29" s="14">
        <f t="shared" si="0"/>
        <v>87.999082147774203</v>
      </c>
      <c r="E29" s="394">
        <v>3685</v>
      </c>
      <c r="F29" s="14">
        <f t="shared" si="1"/>
        <v>84.557136301055536</v>
      </c>
      <c r="G29" s="394">
        <v>3173</v>
      </c>
      <c r="H29" s="14">
        <f t="shared" si="2"/>
        <v>72.808627810922445</v>
      </c>
      <c r="I29" s="394">
        <v>3526</v>
      </c>
      <c r="J29" s="15">
        <f t="shared" si="3"/>
        <v>80.908673703533722</v>
      </c>
      <c r="K29" s="409">
        <v>3514</v>
      </c>
      <c r="L29" s="400">
        <v>3857</v>
      </c>
      <c r="M29" s="16">
        <f t="shared" si="4"/>
        <v>109.7609561752988</v>
      </c>
    </row>
    <row r="30" spans="1:13" x14ac:dyDescent="0.2">
      <c r="A30" s="562" t="s">
        <v>27</v>
      </c>
      <c r="B30" s="399">
        <v>25737</v>
      </c>
      <c r="C30" s="400">
        <v>27654</v>
      </c>
      <c r="D30" s="14">
        <f t="shared" si="0"/>
        <v>107.44842056183705</v>
      </c>
      <c r="E30" s="394">
        <v>27420</v>
      </c>
      <c r="F30" s="14">
        <f t="shared" si="1"/>
        <v>106.53922368574426</v>
      </c>
      <c r="G30" s="394">
        <v>31783</v>
      </c>
      <c r="H30" s="14">
        <f t="shared" si="2"/>
        <v>123.49147142246571</v>
      </c>
      <c r="I30" s="394">
        <v>25589</v>
      </c>
      <c r="J30" s="15">
        <f t="shared" si="3"/>
        <v>99.42495240315499</v>
      </c>
      <c r="K30" s="399">
        <v>25561</v>
      </c>
      <c r="L30" s="400">
        <v>25459</v>
      </c>
      <c r="M30" s="16">
        <f t="shared" si="4"/>
        <v>99.600954579241815</v>
      </c>
    </row>
    <row r="31" spans="1:13" x14ac:dyDescent="0.2">
      <c r="A31" s="443" t="s">
        <v>124</v>
      </c>
      <c r="B31" s="399">
        <v>15250</v>
      </c>
      <c r="C31" s="400">
        <v>9560</v>
      </c>
      <c r="D31" s="14">
        <f t="shared" si="0"/>
        <v>62.688524590163929</v>
      </c>
      <c r="E31" s="394">
        <v>9585</v>
      </c>
      <c r="F31" s="14">
        <f t="shared" si="1"/>
        <v>62.852459016393446</v>
      </c>
      <c r="G31" s="394">
        <v>10685</v>
      </c>
      <c r="H31" s="14">
        <f t="shared" si="2"/>
        <v>70.06557377049181</v>
      </c>
      <c r="I31" s="394">
        <v>9682</v>
      </c>
      <c r="J31" s="15">
        <f t="shared" si="3"/>
        <v>63.488524590163934</v>
      </c>
      <c r="K31" s="399">
        <v>13868</v>
      </c>
      <c r="L31" s="400">
        <v>7806</v>
      </c>
      <c r="M31" s="16">
        <f t="shared" si="4"/>
        <v>56.287856936832995</v>
      </c>
    </row>
    <row r="32" spans="1:13" x14ac:dyDescent="0.2">
      <c r="A32" s="562" t="s">
        <v>28</v>
      </c>
      <c r="B32" s="399">
        <v>23811</v>
      </c>
      <c r="C32" s="400">
        <v>21397</v>
      </c>
      <c r="D32" s="14">
        <f t="shared" si="0"/>
        <v>89.861828566628859</v>
      </c>
      <c r="E32" s="394">
        <v>19330</v>
      </c>
      <c r="F32" s="14">
        <f t="shared" si="1"/>
        <v>81.180966780059634</v>
      </c>
      <c r="G32" s="394">
        <v>24115</v>
      </c>
      <c r="H32" s="14">
        <f t="shared" si="2"/>
        <v>101.27672084330771</v>
      </c>
      <c r="I32" s="394">
        <v>20680</v>
      </c>
      <c r="J32" s="15">
        <f t="shared" si="3"/>
        <v>86.850615261853775</v>
      </c>
      <c r="K32" s="399">
        <v>23706</v>
      </c>
      <c r="L32" s="400">
        <v>21107</v>
      </c>
      <c r="M32" s="16">
        <f t="shared" si="4"/>
        <v>89.036530836075258</v>
      </c>
    </row>
    <row r="33" spans="1:13" x14ac:dyDescent="0.2">
      <c r="A33" s="469" t="s">
        <v>127</v>
      </c>
      <c r="B33" s="402"/>
      <c r="C33" s="403"/>
      <c r="D33" s="341"/>
      <c r="E33" s="395"/>
      <c r="F33" s="341"/>
      <c r="G33" s="395"/>
      <c r="H33" s="341"/>
      <c r="I33" s="395"/>
      <c r="J33" s="350"/>
      <c r="K33" s="402"/>
      <c r="L33" s="403"/>
      <c r="M33" s="342"/>
    </row>
    <row r="34" spans="1:13" x14ac:dyDescent="0.2">
      <c r="A34" s="562" t="s">
        <v>29</v>
      </c>
      <c r="B34" s="399">
        <v>18750</v>
      </c>
      <c r="C34" s="400">
        <v>9607</v>
      </c>
      <c r="D34" s="14">
        <f t="shared" ref="D34:D47" si="5">C34/B34*100</f>
        <v>51.237333333333332</v>
      </c>
      <c r="E34" s="394">
        <v>9391</v>
      </c>
      <c r="F34" s="14">
        <f t="shared" ref="F34:F47" si="6">(E34/B34)*100</f>
        <v>50.085333333333338</v>
      </c>
      <c r="G34" s="394">
        <v>8897</v>
      </c>
      <c r="H34" s="14">
        <f t="shared" ref="H34:H47" si="7">(G34/B34)*100</f>
        <v>47.45066666666667</v>
      </c>
      <c r="I34" s="394">
        <v>9282</v>
      </c>
      <c r="J34" s="15">
        <f t="shared" ref="J34:J47" si="8">(I34/B34)*100</f>
        <v>49.503999999999998</v>
      </c>
      <c r="K34" s="409">
        <v>18358</v>
      </c>
      <c r="L34" s="400">
        <v>8119</v>
      </c>
      <c r="M34" s="16">
        <v>44.2</v>
      </c>
    </row>
    <row r="35" spans="1:13" x14ac:dyDescent="0.2">
      <c r="A35" s="562" t="s">
        <v>30</v>
      </c>
      <c r="B35" s="399">
        <v>41360</v>
      </c>
      <c r="C35" s="400">
        <v>8846</v>
      </c>
      <c r="D35" s="14">
        <f t="shared" si="5"/>
        <v>21.38781431334623</v>
      </c>
      <c r="E35" s="394">
        <v>9038</v>
      </c>
      <c r="F35" s="14">
        <f t="shared" si="6"/>
        <v>21.852030947775628</v>
      </c>
      <c r="G35" s="394">
        <v>11835</v>
      </c>
      <c r="H35" s="14">
        <f t="shared" si="7"/>
        <v>28.614603481624755</v>
      </c>
      <c r="I35" s="394">
        <v>9054</v>
      </c>
      <c r="J35" s="15">
        <f t="shared" si="8"/>
        <v>21.890715667311412</v>
      </c>
      <c r="K35" s="399">
        <v>41256</v>
      </c>
      <c r="L35" s="400">
        <v>9311</v>
      </c>
      <c r="M35" s="16">
        <f t="shared" ref="M35:M47" si="9">(L35/K35)*100</f>
        <v>22.568838471979831</v>
      </c>
    </row>
    <row r="36" spans="1:13" x14ac:dyDescent="0.2">
      <c r="A36" s="367" t="s">
        <v>156</v>
      </c>
      <c r="B36" s="399">
        <v>36128</v>
      </c>
      <c r="C36" s="401">
        <v>18611</v>
      </c>
      <c r="D36" s="14">
        <f t="shared" si="5"/>
        <v>51.514061116031883</v>
      </c>
      <c r="E36" s="394">
        <v>18207</v>
      </c>
      <c r="F36" s="14">
        <f t="shared" si="6"/>
        <v>50.395814880425164</v>
      </c>
      <c r="G36" s="394">
        <v>21459</v>
      </c>
      <c r="H36" s="14">
        <f t="shared" si="7"/>
        <v>59.397143489813999</v>
      </c>
      <c r="I36" s="394">
        <v>17972</v>
      </c>
      <c r="J36" s="15">
        <f t="shared" si="8"/>
        <v>49.745349867139062</v>
      </c>
      <c r="K36" s="399">
        <v>33306</v>
      </c>
      <c r="L36" s="400">
        <v>18473</v>
      </c>
      <c r="M36" s="16">
        <f t="shared" si="9"/>
        <v>55.464480874316934</v>
      </c>
    </row>
    <row r="37" spans="1:13" x14ac:dyDescent="0.2">
      <c r="A37" s="562" t="s">
        <v>31</v>
      </c>
      <c r="B37" s="399">
        <v>10494</v>
      </c>
      <c r="C37" s="400">
        <v>5324</v>
      </c>
      <c r="D37" s="14">
        <f t="shared" si="5"/>
        <v>50.733752620545069</v>
      </c>
      <c r="E37" s="394">
        <v>5798</v>
      </c>
      <c r="F37" s="14">
        <f t="shared" si="6"/>
        <v>55.250619401562794</v>
      </c>
      <c r="G37" s="394">
        <v>5142</v>
      </c>
      <c r="H37" s="14">
        <f t="shared" si="7"/>
        <v>48.999428244711261</v>
      </c>
      <c r="I37" s="394">
        <v>5076</v>
      </c>
      <c r="J37" s="15">
        <f t="shared" si="8"/>
        <v>48.370497427101199</v>
      </c>
      <c r="K37" s="399">
        <v>8339</v>
      </c>
      <c r="L37" s="400">
        <v>5402</v>
      </c>
      <c r="M37" s="16">
        <f t="shared" si="9"/>
        <v>64.779949634248709</v>
      </c>
    </row>
    <row r="38" spans="1:13" x14ac:dyDescent="0.2">
      <c r="A38" s="562" t="s">
        <v>32</v>
      </c>
      <c r="B38" s="399">
        <v>12847</v>
      </c>
      <c r="C38" s="400">
        <v>9204</v>
      </c>
      <c r="D38" s="14">
        <f t="shared" si="5"/>
        <v>71.643185179419319</v>
      </c>
      <c r="E38" s="394">
        <v>9142</v>
      </c>
      <c r="F38" s="14">
        <f t="shared" si="6"/>
        <v>71.160582237098154</v>
      </c>
      <c r="G38" s="394">
        <v>10378</v>
      </c>
      <c r="H38" s="14">
        <f t="shared" si="7"/>
        <v>80.781505409823311</v>
      </c>
      <c r="I38" s="394">
        <v>9164</v>
      </c>
      <c r="J38" s="15">
        <f t="shared" si="8"/>
        <v>71.331828442437924</v>
      </c>
      <c r="K38" s="399">
        <v>12757</v>
      </c>
      <c r="L38" s="400">
        <v>9498</v>
      </c>
      <c r="M38" s="16">
        <f t="shared" si="9"/>
        <v>74.453241357685968</v>
      </c>
    </row>
    <row r="39" spans="1:13" x14ac:dyDescent="0.2">
      <c r="A39" s="562" t="s">
        <v>33</v>
      </c>
      <c r="B39" s="399">
        <v>21621</v>
      </c>
      <c r="C39" s="400">
        <v>12764</v>
      </c>
      <c r="D39" s="14">
        <f t="shared" si="5"/>
        <v>59.035197261921283</v>
      </c>
      <c r="E39" s="394">
        <v>12675</v>
      </c>
      <c r="F39" s="14">
        <f t="shared" si="6"/>
        <v>58.623560427362285</v>
      </c>
      <c r="G39" s="394">
        <v>14157</v>
      </c>
      <c r="H39" s="14">
        <f t="shared" si="7"/>
        <v>65.47800749271542</v>
      </c>
      <c r="I39" s="394">
        <v>13106</v>
      </c>
      <c r="J39" s="15">
        <f t="shared" si="8"/>
        <v>60.616992738541228</v>
      </c>
      <c r="K39" s="409">
        <v>21471</v>
      </c>
      <c r="L39" s="400">
        <v>14456</v>
      </c>
      <c r="M39" s="16">
        <f t="shared" si="9"/>
        <v>67.328023846118029</v>
      </c>
    </row>
    <row r="40" spans="1:13" x14ac:dyDescent="0.2">
      <c r="A40" s="562" t="s">
        <v>34</v>
      </c>
      <c r="B40" s="399">
        <v>1680</v>
      </c>
      <c r="C40" s="400">
        <v>1045</v>
      </c>
      <c r="D40" s="14">
        <f t="shared" si="5"/>
        <v>62.202380952380956</v>
      </c>
      <c r="E40" s="394">
        <v>1036</v>
      </c>
      <c r="F40" s="14">
        <f t="shared" si="6"/>
        <v>61.666666666666671</v>
      </c>
      <c r="G40" s="394">
        <v>796</v>
      </c>
      <c r="H40" s="14">
        <f t="shared" si="7"/>
        <v>47.38095238095238</v>
      </c>
      <c r="I40" s="394">
        <v>989</v>
      </c>
      <c r="J40" s="15">
        <f t="shared" si="8"/>
        <v>58.86904761904762</v>
      </c>
      <c r="K40" s="399">
        <v>1660</v>
      </c>
      <c r="L40" s="400">
        <v>872</v>
      </c>
      <c r="M40" s="16">
        <f t="shared" si="9"/>
        <v>52.53012048192771</v>
      </c>
    </row>
    <row r="41" spans="1:13" x14ac:dyDescent="0.2">
      <c r="A41" s="562" t="s">
        <v>35</v>
      </c>
      <c r="B41" s="399">
        <v>50582</v>
      </c>
      <c r="C41" s="400">
        <v>18868</v>
      </c>
      <c r="D41" s="14">
        <f t="shared" si="5"/>
        <v>37.301806966905218</v>
      </c>
      <c r="E41" s="394">
        <v>18917</v>
      </c>
      <c r="F41" s="14">
        <f t="shared" si="6"/>
        <v>37.39867937210866</v>
      </c>
      <c r="G41" s="394">
        <v>21291</v>
      </c>
      <c r="H41" s="14">
        <f t="shared" si="7"/>
        <v>42.092048554821879</v>
      </c>
      <c r="I41" s="394">
        <v>18754</v>
      </c>
      <c r="J41" s="15">
        <f t="shared" si="8"/>
        <v>37.076430350717651</v>
      </c>
      <c r="K41" s="399">
        <v>46417</v>
      </c>
      <c r="L41" s="400">
        <v>19710</v>
      </c>
      <c r="M41" s="16">
        <f t="shared" si="9"/>
        <v>42.462890751233381</v>
      </c>
    </row>
    <row r="42" spans="1:13" x14ac:dyDescent="0.2">
      <c r="A42" s="562" t="s">
        <v>36</v>
      </c>
      <c r="B42" s="399">
        <v>23225</v>
      </c>
      <c r="C42" s="400">
        <v>16976</v>
      </c>
      <c r="D42" s="14">
        <f t="shared" si="5"/>
        <v>73.093649085037669</v>
      </c>
      <c r="E42" s="394">
        <v>16897</v>
      </c>
      <c r="F42" s="14">
        <f t="shared" si="6"/>
        <v>72.753498385360601</v>
      </c>
      <c r="G42" s="394">
        <v>17017</v>
      </c>
      <c r="H42" s="14">
        <f t="shared" si="7"/>
        <v>73.27018299246501</v>
      </c>
      <c r="I42" s="394">
        <v>16512</v>
      </c>
      <c r="J42" s="15">
        <f t="shared" si="8"/>
        <v>71.095801937567273</v>
      </c>
      <c r="K42" s="399">
        <v>21152</v>
      </c>
      <c r="L42" s="400">
        <v>14661</v>
      </c>
      <c r="M42" s="16">
        <f t="shared" si="9"/>
        <v>69.312594553706504</v>
      </c>
    </row>
    <row r="43" spans="1:13" x14ac:dyDescent="0.2">
      <c r="A43" s="562" t="s">
        <v>37</v>
      </c>
      <c r="B43" s="399">
        <v>21909</v>
      </c>
      <c r="C43" s="400">
        <v>26327</v>
      </c>
      <c r="D43" s="14">
        <f t="shared" si="5"/>
        <v>120.16522890136474</v>
      </c>
      <c r="E43" s="394">
        <v>25197</v>
      </c>
      <c r="F43" s="14">
        <f t="shared" si="6"/>
        <v>115.00753115158153</v>
      </c>
      <c r="G43" s="394">
        <v>29485</v>
      </c>
      <c r="H43" s="14">
        <f t="shared" si="7"/>
        <v>134.57939659500661</v>
      </c>
      <c r="I43" s="394">
        <v>24853</v>
      </c>
      <c r="J43" s="15">
        <f t="shared" si="8"/>
        <v>113.43740015518738</v>
      </c>
      <c r="K43" s="409">
        <v>27957</v>
      </c>
      <c r="L43" s="400">
        <v>26031</v>
      </c>
      <c r="M43" s="16">
        <f t="shared" si="9"/>
        <v>93.110848803519687</v>
      </c>
    </row>
    <row r="44" spans="1:13" ht="21" customHeight="1" x14ac:dyDescent="0.2">
      <c r="A44" s="562" t="s">
        <v>38</v>
      </c>
      <c r="B44" s="399">
        <v>89698</v>
      </c>
      <c r="C44" s="400">
        <v>63021</v>
      </c>
      <c r="D44" s="14">
        <f t="shared" si="5"/>
        <v>70.259091618542229</v>
      </c>
      <c r="E44" s="394">
        <v>60723</v>
      </c>
      <c r="F44" s="14">
        <f t="shared" si="6"/>
        <v>67.697161586657444</v>
      </c>
      <c r="G44" s="394">
        <v>72565</v>
      </c>
      <c r="H44" s="14">
        <f t="shared" si="7"/>
        <v>80.899239670895668</v>
      </c>
      <c r="I44" s="394">
        <v>68066</v>
      </c>
      <c r="J44" s="15">
        <f t="shared" si="8"/>
        <v>75.883520256861914</v>
      </c>
      <c r="K44" s="399">
        <v>87023</v>
      </c>
      <c r="L44" s="400">
        <v>59554</v>
      </c>
      <c r="M44" s="16">
        <f t="shared" si="9"/>
        <v>68.434781609459577</v>
      </c>
    </row>
    <row r="45" spans="1:13" x14ac:dyDescent="0.2">
      <c r="A45" s="562" t="s">
        <v>39</v>
      </c>
      <c r="B45" s="399">
        <v>1010</v>
      </c>
      <c r="C45" s="400">
        <v>404</v>
      </c>
      <c r="D45" s="14">
        <f t="shared" si="5"/>
        <v>40</v>
      </c>
      <c r="E45" s="394">
        <v>384</v>
      </c>
      <c r="F45" s="14">
        <f t="shared" si="6"/>
        <v>38.019801980198018</v>
      </c>
      <c r="G45" s="394">
        <v>679</v>
      </c>
      <c r="H45" s="14">
        <f t="shared" si="7"/>
        <v>67.227722772277232</v>
      </c>
      <c r="I45" s="394">
        <v>413</v>
      </c>
      <c r="J45" s="15">
        <f t="shared" si="8"/>
        <v>40.89108910891089</v>
      </c>
      <c r="K45" s="399">
        <v>818</v>
      </c>
      <c r="L45" s="400">
        <v>635</v>
      </c>
      <c r="M45" s="16">
        <f t="shared" si="9"/>
        <v>77.628361858190715</v>
      </c>
    </row>
    <row r="46" spans="1:13" ht="13.5" thickBot="1" x14ac:dyDescent="0.25">
      <c r="A46" s="563" t="s">
        <v>40</v>
      </c>
      <c r="B46" s="404">
        <v>2806</v>
      </c>
      <c r="C46" s="405">
        <v>693</v>
      </c>
      <c r="D46" s="369">
        <f t="shared" si="5"/>
        <v>24.697077690662866</v>
      </c>
      <c r="E46" s="396">
        <v>658</v>
      </c>
      <c r="F46" s="369">
        <f t="shared" si="6"/>
        <v>23.449750534568782</v>
      </c>
      <c r="G46" s="396">
        <v>841</v>
      </c>
      <c r="H46" s="369">
        <f t="shared" si="7"/>
        <v>29.971489665003563</v>
      </c>
      <c r="I46" s="396">
        <v>648</v>
      </c>
      <c r="J46" s="370">
        <f t="shared" si="8"/>
        <v>23.09337134711333</v>
      </c>
      <c r="K46" s="404">
        <v>2309</v>
      </c>
      <c r="L46" s="405">
        <v>677</v>
      </c>
      <c r="M46" s="371">
        <f t="shared" si="9"/>
        <v>29.320051970550022</v>
      </c>
    </row>
    <row r="47" spans="1:13" ht="13.5" thickBot="1" x14ac:dyDescent="0.25">
      <c r="A47" s="392" t="s">
        <v>41</v>
      </c>
      <c r="B47" s="406">
        <f>SUM(B11:B46)</f>
        <v>926822</v>
      </c>
      <c r="C47" s="407">
        <f>SUM(C11:C46)</f>
        <v>691984</v>
      </c>
      <c r="D47" s="373">
        <f t="shared" si="5"/>
        <v>74.66201708634452</v>
      </c>
      <c r="E47" s="407">
        <f>SUM(E11:E46)</f>
        <v>671986</v>
      </c>
      <c r="F47" s="373">
        <f t="shared" si="6"/>
        <v>72.504321218097971</v>
      </c>
      <c r="G47" s="407">
        <f>SUM(G11:G46)</f>
        <v>785676</v>
      </c>
      <c r="H47" s="373">
        <f t="shared" si="7"/>
        <v>84.770970046028253</v>
      </c>
      <c r="I47" s="407">
        <f>SUM(I11:I46)</f>
        <v>692809</v>
      </c>
      <c r="J47" s="374">
        <f t="shared" si="8"/>
        <v>74.751030942295287</v>
      </c>
      <c r="K47" s="406">
        <f>SUM(K11:K46)</f>
        <v>898624</v>
      </c>
      <c r="L47" s="407">
        <f>SUM(L11:L46)</f>
        <v>701047</v>
      </c>
      <c r="M47" s="375">
        <f t="shared" si="9"/>
        <v>78.013384908482294</v>
      </c>
    </row>
  </sheetData>
  <mergeCells count="1">
    <mergeCell ref="A8:M8"/>
  </mergeCells>
  <phoneticPr fontId="11" type="noConversion"/>
  <printOptions horizontalCentered="1" verticalCentered="1"/>
  <pageMargins left="0.23622047244094491" right="0.27559055118110237" top="0.98425196850393704" bottom="0.51181102362204722" header="0" footer="0"/>
  <pageSetup scale="95" orientation="landscape" horizontalDpi="4294967295" verticalDpi="4294967295" r:id="rId1"/>
  <headerFooter alignWithMargins="0">
    <oddHeader>&amp;L     &amp;G&amp;C&amp;"Arial,Negrita"MINISTERIO DE LA PROTECCION SOCIAL
República de Colombia
Dirección General de Salud Pública
Programa Ampliado de Inmunizaciones - PAI</oddHeader>
    <oddFooter>&amp;L   &amp;P&amp;C&amp;F</oddFoot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7"/>
  </sheetPr>
  <dimension ref="A5:P52"/>
  <sheetViews>
    <sheetView zoomScale="90" zoomScaleNormal="90" workbookViewId="0">
      <pane xSplit="2" ySplit="10" topLeftCell="C11" activePane="bottomRight" state="frozen"/>
      <selection activeCell="A4" sqref="A4"/>
      <selection pane="topRight" activeCell="A4" sqref="A4"/>
      <selection pane="bottomLeft" activeCell="A4" sqref="A4"/>
      <selection pane="bottomRight" activeCell="C11" sqref="C11"/>
    </sheetView>
  </sheetViews>
  <sheetFormatPr baseColWidth="10" defaultRowHeight="12.75" x14ac:dyDescent="0.2"/>
  <cols>
    <col min="1" max="1" width="22.42578125" style="17" customWidth="1"/>
    <col min="2" max="2" width="12.42578125" style="17" bestFit="1" customWidth="1"/>
    <col min="3" max="3" width="11.28515625" style="17" bestFit="1" customWidth="1"/>
    <col min="4" max="4" width="5.5703125" style="17" customWidth="1"/>
    <col min="5" max="5" width="11.28515625" style="17" bestFit="1" customWidth="1"/>
    <col min="6" max="6" width="6.7109375" style="17" customWidth="1"/>
    <col min="7" max="7" width="11.28515625" style="17" bestFit="1" customWidth="1"/>
    <col min="8" max="8" width="6.7109375" style="17" customWidth="1"/>
    <col min="9" max="9" width="11.28515625" style="17" bestFit="1" customWidth="1"/>
    <col min="10" max="10" width="5.5703125" style="17" customWidth="1"/>
    <col min="11" max="11" width="11.28515625" style="17" bestFit="1" customWidth="1"/>
    <col min="12" max="12" width="5.7109375" style="17" customWidth="1"/>
    <col min="13" max="14" width="11.28515625" style="17" bestFit="1" customWidth="1"/>
    <col min="15" max="15" width="6.5703125" style="17" customWidth="1"/>
    <col min="16" max="16" width="6.5703125" style="17" bestFit="1" customWidth="1"/>
    <col min="17" max="16384" width="11.42578125" style="17"/>
  </cols>
  <sheetData>
    <row r="5" spans="1:16" x14ac:dyDescent="0.2">
      <c r="A5" s="702" t="s">
        <v>305</v>
      </c>
      <c r="B5" s="753" t="s">
        <v>324</v>
      </c>
    </row>
    <row r="6" spans="1:16" x14ac:dyDescent="0.2">
      <c r="A6" s="702" t="s">
        <v>306</v>
      </c>
      <c r="B6" s="776">
        <v>36535</v>
      </c>
    </row>
    <row r="7" spans="1:16" x14ac:dyDescent="0.2">
      <c r="A7" s="702" t="s">
        <v>307</v>
      </c>
      <c r="B7" s="766" t="s">
        <v>312</v>
      </c>
    </row>
    <row r="8" spans="1:16" ht="17.25" customHeight="1" thickBot="1" x14ac:dyDescent="0.25">
      <c r="A8" s="1863" t="s">
        <v>78</v>
      </c>
      <c r="B8" s="1863"/>
      <c r="C8" s="1863"/>
      <c r="D8" s="1863"/>
      <c r="E8" s="1863"/>
      <c r="F8" s="1863"/>
      <c r="G8" s="1863"/>
      <c r="H8" s="1863"/>
      <c r="I8" s="1863"/>
      <c r="J8" s="1863"/>
      <c r="K8" s="1863"/>
      <c r="L8" s="1863"/>
      <c r="M8" s="1863"/>
      <c r="N8" s="1863"/>
      <c r="O8" s="1863"/>
      <c r="P8" s="1863"/>
    </row>
    <row r="9" spans="1:16" ht="18" customHeight="1" thickBot="1" x14ac:dyDescent="0.25">
      <c r="A9" s="31" t="s">
        <v>79</v>
      </c>
      <c r="B9" s="9" t="s">
        <v>53</v>
      </c>
      <c r="C9" s="1864" t="s">
        <v>3</v>
      </c>
      <c r="D9" s="1865"/>
      <c r="E9" s="1864" t="s">
        <v>6</v>
      </c>
      <c r="F9" s="1865"/>
      <c r="G9" s="1864" t="s">
        <v>7</v>
      </c>
      <c r="H9" s="1865"/>
      <c r="I9" s="1864" t="s">
        <v>54</v>
      </c>
      <c r="J9" s="1865"/>
      <c r="K9" s="1864" t="s">
        <v>80</v>
      </c>
      <c r="L9" s="1865"/>
      <c r="M9" s="27" t="s">
        <v>81</v>
      </c>
      <c r="N9" s="1864" t="s">
        <v>55</v>
      </c>
      <c r="O9" s="1865"/>
      <c r="P9" s="30" t="s">
        <v>82</v>
      </c>
    </row>
    <row r="10" spans="1:16" ht="15" customHeight="1" thickBot="1" x14ac:dyDescent="0.25">
      <c r="A10" s="32"/>
      <c r="B10" s="33" t="s">
        <v>74</v>
      </c>
      <c r="C10" s="33" t="s">
        <v>57</v>
      </c>
      <c r="D10" s="33" t="s">
        <v>5</v>
      </c>
      <c r="E10" s="33" t="s">
        <v>83</v>
      </c>
      <c r="F10" s="33" t="s">
        <v>5</v>
      </c>
      <c r="G10" s="34" t="s">
        <v>75</v>
      </c>
      <c r="H10" s="33" t="s">
        <v>5</v>
      </c>
      <c r="I10" s="34" t="s">
        <v>57</v>
      </c>
      <c r="J10" s="33" t="s">
        <v>5</v>
      </c>
      <c r="K10" s="34" t="s">
        <v>57</v>
      </c>
      <c r="L10" s="33" t="s">
        <v>5</v>
      </c>
      <c r="M10" s="35" t="s">
        <v>84</v>
      </c>
      <c r="N10" s="34" t="s">
        <v>75</v>
      </c>
      <c r="O10" s="33" t="s">
        <v>5</v>
      </c>
      <c r="P10" s="33" t="s">
        <v>85</v>
      </c>
    </row>
    <row r="11" spans="1:16" x14ac:dyDescent="0.2">
      <c r="A11" s="414" t="s">
        <v>12</v>
      </c>
      <c r="B11" s="397">
        <v>1490</v>
      </c>
      <c r="C11" s="398">
        <v>720</v>
      </c>
      <c r="D11" s="12">
        <f>(C11/B11)*100</f>
        <v>48.322147651006716</v>
      </c>
      <c r="E11" s="425">
        <v>751</v>
      </c>
      <c r="F11" s="420">
        <f>(E11/B11)*100</f>
        <v>50.402684563758392</v>
      </c>
      <c r="G11" s="425">
        <v>1062</v>
      </c>
      <c r="H11" s="420">
        <f>(G11/B11)*100</f>
        <v>71.275167785234899</v>
      </c>
      <c r="I11" s="425">
        <v>860</v>
      </c>
      <c r="J11" s="420">
        <f>(I11/B11)*100</f>
        <v>57.718120805369132</v>
      </c>
      <c r="K11" s="425">
        <f>261+58+52</f>
        <v>371</v>
      </c>
      <c r="L11" s="420">
        <f>(K11/B11)*100</f>
        <v>24.8993288590604</v>
      </c>
      <c r="M11" s="408">
        <v>1458</v>
      </c>
      <c r="N11" s="398">
        <v>738</v>
      </c>
      <c r="O11" s="11">
        <f>(N11/M11)*100</f>
        <v>50.617283950617285</v>
      </c>
      <c r="P11" s="411" t="s">
        <v>86</v>
      </c>
    </row>
    <row r="12" spans="1:16" x14ac:dyDescent="0.2">
      <c r="A12" s="415" t="s">
        <v>11</v>
      </c>
      <c r="B12" s="399">
        <v>104245</v>
      </c>
      <c r="C12" s="400">
        <v>85418</v>
      </c>
      <c r="D12" s="15">
        <f>(C12/B12)*100</f>
        <v>81.939661374646263</v>
      </c>
      <c r="E12" s="426">
        <v>78680</v>
      </c>
      <c r="F12" s="421">
        <f>(E12/B12)*100</f>
        <v>75.476042016403667</v>
      </c>
      <c r="G12" s="426">
        <v>89281</v>
      </c>
      <c r="H12" s="421">
        <f>(G12/B12)*100</f>
        <v>85.645354693270662</v>
      </c>
      <c r="I12" s="426">
        <v>87894</v>
      </c>
      <c r="J12" s="421">
        <f>(I12/B12)*100</f>
        <v>84.314835243896596</v>
      </c>
      <c r="K12" s="426">
        <v>49353</v>
      </c>
      <c r="L12" s="421">
        <f>(K12/B12)*100</f>
        <v>47.343277855053003</v>
      </c>
      <c r="M12" s="399">
        <v>97274</v>
      </c>
      <c r="N12" s="400">
        <v>78397</v>
      </c>
      <c r="O12" s="14">
        <f>(N12/M12)*100</f>
        <v>80.593992228139072</v>
      </c>
      <c r="P12" s="413" t="s">
        <v>86</v>
      </c>
    </row>
    <row r="13" spans="1:16" x14ac:dyDescent="0.2">
      <c r="A13" s="415" t="s">
        <v>13</v>
      </c>
      <c r="B13" s="399">
        <v>5800</v>
      </c>
      <c r="C13" s="401">
        <v>4093</v>
      </c>
      <c r="D13" s="15">
        <f t="shared" ref="D13:D28" si="0">(C13/B13)*100</f>
        <v>70.568965517241381</v>
      </c>
      <c r="E13" s="426">
        <v>4065</v>
      </c>
      <c r="F13" s="421">
        <f t="shared" ref="F13:F28" si="1">(E13/B13)*100</f>
        <v>70.08620689655173</v>
      </c>
      <c r="G13" s="426">
        <v>4005</v>
      </c>
      <c r="H13" s="421">
        <f t="shared" ref="H13:H28" si="2">(G13/B13)*100</f>
        <v>69.051724137931032</v>
      </c>
      <c r="I13" s="426">
        <v>3740</v>
      </c>
      <c r="J13" s="421">
        <f t="shared" ref="J13:J28" si="3">(I13/B13)*100</f>
        <v>64.482758620689651</v>
      </c>
      <c r="K13" s="426">
        <v>1436</v>
      </c>
      <c r="L13" s="421">
        <f t="shared" ref="L13:L28" si="4">(K13/B13)*100</f>
        <v>24.758620689655171</v>
      </c>
      <c r="M13" s="399">
        <v>5338</v>
      </c>
      <c r="N13" s="400">
        <v>3295</v>
      </c>
      <c r="O13" s="14">
        <f t="shared" ref="O13:O28" si="5">(N13/M13)*100</f>
        <v>61.727238666167104</v>
      </c>
      <c r="P13" s="413" t="s">
        <v>86</v>
      </c>
    </row>
    <row r="14" spans="1:16" x14ac:dyDescent="0.2">
      <c r="A14" s="415" t="s">
        <v>14</v>
      </c>
      <c r="B14" s="399">
        <v>19575</v>
      </c>
      <c r="C14" s="400">
        <v>19478</v>
      </c>
      <c r="D14" s="15">
        <f t="shared" si="0"/>
        <v>99.504469987228603</v>
      </c>
      <c r="E14" s="426">
        <v>21513</v>
      </c>
      <c r="F14" s="421">
        <f t="shared" si="1"/>
        <v>109.90038314176245</v>
      </c>
      <c r="G14" s="426">
        <v>17924</v>
      </c>
      <c r="H14" s="421">
        <f t="shared" si="2"/>
        <v>91.565772669220948</v>
      </c>
      <c r="I14" s="426">
        <v>19423</v>
      </c>
      <c r="J14" s="421">
        <f t="shared" si="3"/>
        <v>99.223499361430399</v>
      </c>
      <c r="K14" s="426">
        <v>9558</v>
      </c>
      <c r="L14" s="421">
        <f t="shared" si="4"/>
        <v>48.827586206896548</v>
      </c>
      <c r="M14" s="399">
        <v>19440</v>
      </c>
      <c r="N14" s="400">
        <v>12558</v>
      </c>
      <c r="O14" s="14">
        <f t="shared" si="5"/>
        <v>64.598765432098773</v>
      </c>
      <c r="P14" s="413" t="s">
        <v>86</v>
      </c>
    </row>
    <row r="15" spans="1:16" x14ac:dyDescent="0.2">
      <c r="A15" s="430" t="s">
        <v>115</v>
      </c>
      <c r="B15" s="399">
        <v>23663</v>
      </c>
      <c r="C15" s="400">
        <v>19572</v>
      </c>
      <c r="D15" s="15">
        <f t="shared" si="0"/>
        <v>82.711405992477708</v>
      </c>
      <c r="E15" s="426">
        <v>20858</v>
      </c>
      <c r="F15" s="421">
        <f t="shared" si="1"/>
        <v>88.146050796602296</v>
      </c>
      <c r="G15" s="426">
        <v>27207</v>
      </c>
      <c r="H15" s="421">
        <f t="shared" si="2"/>
        <v>114.9769682626886</v>
      </c>
      <c r="I15" s="426">
        <v>22418</v>
      </c>
      <c r="J15" s="421">
        <f t="shared" si="3"/>
        <v>94.738621476566792</v>
      </c>
      <c r="K15" s="426">
        <v>13186</v>
      </c>
      <c r="L15" s="421">
        <f t="shared" si="4"/>
        <v>55.724126273084565</v>
      </c>
      <c r="M15" s="399">
        <v>29667</v>
      </c>
      <c r="N15" s="400">
        <v>26205</v>
      </c>
      <c r="O15" s="14">
        <f t="shared" si="5"/>
        <v>88.330468196986558</v>
      </c>
      <c r="P15" s="413" t="s">
        <v>86</v>
      </c>
    </row>
    <row r="16" spans="1:16" x14ac:dyDescent="0.2">
      <c r="A16" s="415" t="s">
        <v>15</v>
      </c>
      <c r="B16" s="399">
        <v>143277</v>
      </c>
      <c r="C16" s="401">
        <v>110224</v>
      </c>
      <c r="D16" s="15">
        <f t="shared" si="0"/>
        <v>76.930700670728726</v>
      </c>
      <c r="E16" s="426">
        <v>107830</v>
      </c>
      <c r="F16" s="421">
        <f t="shared" si="1"/>
        <v>75.259811414253505</v>
      </c>
      <c r="G16" s="426">
        <v>124059</v>
      </c>
      <c r="H16" s="421">
        <f t="shared" si="2"/>
        <v>86.586821332104947</v>
      </c>
      <c r="I16" s="426">
        <v>109825</v>
      </c>
      <c r="J16" s="421">
        <f t="shared" si="3"/>
        <v>76.65221912798286</v>
      </c>
      <c r="K16" s="426">
        <v>71503</v>
      </c>
      <c r="L16" s="421">
        <f t="shared" si="4"/>
        <v>49.905427947262993</v>
      </c>
      <c r="M16" s="399">
        <v>137673</v>
      </c>
      <c r="N16" s="400">
        <v>121045</v>
      </c>
      <c r="O16" s="14">
        <f t="shared" si="5"/>
        <v>87.922105278449664</v>
      </c>
      <c r="P16" s="413" t="s">
        <v>86</v>
      </c>
    </row>
    <row r="17" spans="1:16" x14ac:dyDescent="0.2">
      <c r="A17" s="415" t="s">
        <v>62</v>
      </c>
      <c r="B17" s="399">
        <v>27604</v>
      </c>
      <c r="C17" s="400">
        <v>19685</v>
      </c>
      <c r="D17" s="15">
        <f t="shared" si="0"/>
        <v>71.312128677003329</v>
      </c>
      <c r="E17" s="426">
        <v>18123</v>
      </c>
      <c r="F17" s="421">
        <f t="shared" si="1"/>
        <v>65.653528474134177</v>
      </c>
      <c r="G17" s="426">
        <v>17244</v>
      </c>
      <c r="H17" s="421">
        <f t="shared" si="2"/>
        <v>62.469207361251989</v>
      </c>
      <c r="I17" s="426">
        <v>18123</v>
      </c>
      <c r="J17" s="421">
        <f t="shared" si="3"/>
        <v>65.653528474134177</v>
      </c>
      <c r="K17" s="426">
        <v>10829</v>
      </c>
      <c r="L17" s="421">
        <f t="shared" si="4"/>
        <v>39.229821764961599</v>
      </c>
      <c r="M17" s="399">
        <v>27973</v>
      </c>
      <c r="N17" s="400">
        <v>16068</v>
      </c>
      <c r="O17" s="14">
        <f t="shared" si="5"/>
        <v>57.441103921638728</v>
      </c>
      <c r="P17" s="413" t="s">
        <v>86</v>
      </c>
    </row>
    <row r="18" spans="1:16" x14ac:dyDescent="0.2">
      <c r="A18" s="415" t="s">
        <v>45</v>
      </c>
      <c r="B18" s="399">
        <v>19626</v>
      </c>
      <c r="C18" s="400">
        <v>19565</v>
      </c>
      <c r="D18" s="15">
        <f t="shared" si="0"/>
        <v>99.689187812086004</v>
      </c>
      <c r="E18" s="426">
        <v>17348</v>
      </c>
      <c r="F18" s="421">
        <f t="shared" si="1"/>
        <v>88.392948130031584</v>
      </c>
      <c r="G18" s="426">
        <v>15457</v>
      </c>
      <c r="H18" s="421">
        <f t="shared" si="2"/>
        <v>78.757770304697843</v>
      </c>
      <c r="I18" s="426">
        <v>17022</v>
      </c>
      <c r="J18" s="421">
        <f t="shared" si="3"/>
        <v>86.731886273310906</v>
      </c>
      <c r="K18" s="426">
        <v>9480</v>
      </c>
      <c r="L18" s="421">
        <f t="shared" si="4"/>
        <v>48.303271170895748</v>
      </c>
      <c r="M18" s="399">
        <v>19456</v>
      </c>
      <c r="N18" s="400">
        <v>19485</v>
      </c>
      <c r="O18" s="14">
        <f t="shared" si="5"/>
        <v>100.14905427631579</v>
      </c>
      <c r="P18" s="413" t="s">
        <v>86</v>
      </c>
    </row>
    <row r="19" spans="1:16" x14ac:dyDescent="0.2">
      <c r="A19" s="415" t="s">
        <v>17</v>
      </c>
      <c r="B19" s="399">
        <v>33394</v>
      </c>
      <c r="C19" s="400">
        <v>22050</v>
      </c>
      <c r="D19" s="15">
        <f t="shared" si="0"/>
        <v>66.029825717194697</v>
      </c>
      <c r="E19" s="426">
        <v>20471</v>
      </c>
      <c r="F19" s="421">
        <f t="shared" si="1"/>
        <v>61.301431394861353</v>
      </c>
      <c r="G19" s="426">
        <v>25101</v>
      </c>
      <c r="H19" s="421">
        <f t="shared" si="2"/>
        <v>75.166197520512668</v>
      </c>
      <c r="I19" s="426">
        <v>23655</v>
      </c>
      <c r="J19" s="421">
        <f t="shared" si="3"/>
        <v>70.836078337425889</v>
      </c>
      <c r="K19" s="426">
        <v>13217</v>
      </c>
      <c r="L19" s="421">
        <f t="shared" si="4"/>
        <v>39.578966281367912</v>
      </c>
      <c r="M19" s="399">
        <v>33304</v>
      </c>
      <c r="N19" s="400">
        <v>23620</v>
      </c>
      <c r="O19" s="14">
        <f t="shared" si="5"/>
        <v>70.922411722315644</v>
      </c>
      <c r="P19" s="413" t="s">
        <v>86</v>
      </c>
    </row>
    <row r="20" spans="1:16" x14ac:dyDescent="0.2">
      <c r="A20" s="415" t="s">
        <v>19</v>
      </c>
      <c r="B20" s="399">
        <v>20574</v>
      </c>
      <c r="C20" s="400">
        <v>18752</v>
      </c>
      <c r="D20" s="15">
        <f t="shared" si="0"/>
        <v>91.14416253523865</v>
      </c>
      <c r="E20" s="426">
        <v>18547</v>
      </c>
      <c r="F20" s="421">
        <f t="shared" si="1"/>
        <v>90.147759307864291</v>
      </c>
      <c r="G20" s="426">
        <v>18857</v>
      </c>
      <c r="H20" s="421">
        <f t="shared" si="2"/>
        <v>91.654515407796239</v>
      </c>
      <c r="I20" s="426">
        <v>17168</v>
      </c>
      <c r="J20" s="421">
        <f t="shared" si="3"/>
        <v>83.445124914941189</v>
      </c>
      <c r="K20" s="426">
        <v>14329</v>
      </c>
      <c r="L20" s="421">
        <f t="shared" si="4"/>
        <v>69.646155341693401</v>
      </c>
      <c r="M20" s="399">
        <v>20389</v>
      </c>
      <c r="N20" s="400">
        <v>19202</v>
      </c>
      <c r="O20" s="14">
        <f t="shared" si="5"/>
        <v>94.17823336112609</v>
      </c>
      <c r="P20" s="413" t="s">
        <v>86</v>
      </c>
    </row>
    <row r="21" spans="1:16" x14ac:dyDescent="0.2">
      <c r="A21" s="415" t="s">
        <v>63</v>
      </c>
      <c r="B21" s="399">
        <v>10815</v>
      </c>
      <c r="C21" s="401">
        <v>9729</v>
      </c>
      <c r="D21" s="15">
        <f t="shared" si="0"/>
        <v>89.958391123439668</v>
      </c>
      <c r="E21" s="426">
        <v>8046</v>
      </c>
      <c r="F21" s="421">
        <f t="shared" si="1"/>
        <v>74.396671289875172</v>
      </c>
      <c r="G21" s="426">
        <v>6817</v>
      </c>
      <c r="H21" s="421">
        <f t="shared" si="2"/>
        <v>63.032824780397604</v>
      </c>
      <c r="I21" s="426">
        <v>9373</v>
      </c>
      <c r="J21" s="421">
        <f t="shared" si="3"/>
        <v>86.666666666666671</v>
      </c>
      <c r="K21" s="426">
        <v>7218</v>
      </c>
      <c r="L21" s="421">
        <f t="shared" si="4"/>
        <v>66.74063800277392</v>
      </c>
      <c r="M21" s="409">
        <v>11192</v>
      </c>
      <c r="N21" s="400">
        <v>9055</v>
      </c>
      <c r="O21" s="14">
        <f t="shared" si="5"/>
        <v>80.906004288777694</v>
      </c>
      <c r="P21" s="413" t="s">
        <v>86</v>
      </c>
    </row>
    <row r="22" spans="1:16" x14ac:dyDescent="0.2">
      <c r="A22" s="415" t="s">
        <v>21</v>
      </c>
      <c r="B22" s="399">
        <v>7058</v>
      </c>
      <c r="C22" s="400">
        <v>5667</v>
      </c>
      <c r="D22" s="15">
        <f t="shared" si="0"/>
        <v>80.291867384528189</v>
      </c>
      <c r="E22" s="426">
        <v>4994</v>
      </c>
      <c r="F22" s="421">
        <f t="shared" si="1"/>
        <v>70.756588268631333</v>
      </c>
      <c r="G22" s="426">
        <v>5725</v>
      </c>
      <c r="H22" s="421">
        <f t="shared" si="2"/>
        <v>81.113629923491075</v>
      </c>
      <c r="I22" s="426">
        <v>5974</v>
      </c>
      <c r="J22" s="421">
        <f t="shared" si="3"/>
        <v>84.641541513176534</v>
      </c>
      <c r="K22" s="426">
        <v>5159</v>
      </c>
      <c r="L22" s="421">
        <f t="shared" si="4"/>
        <v>73.094361008784361</v>
      </c>
      <c r="M22" s="399">
        <v>6840</v>
      </c>
      <c r="N22" s="400">
        <v>5464</v>
      </c>
      <c r="O22" s="14">
        <f t="shared" si="5"/>
        <v>79.883040935672511</v>
      </c>
      <c r="P22" s="413" t="s">
        <v>86</v>
      </c>
    </row>
    <row r="23" spans="1:16" x14ac:dyDescent="0.2">
      <c r="A23" s="415" t="s">
        <v>18</v>
      </c>
      <c r="B23" s="399">
        <v>27545</v>
      </c>
      <c r="C23" s="400">
        <v>20082</v>
      </c>
      <c r="D23" s="15">
        <f t="shared" si="0"/>
        <v>72.906153566890538</v>
      </c>
      <c r="E23" s="426">
        <v>15389</v>
      </c>
      <c r="F23" s="421">
        <f t="shared" si="1"/>
        <v>55.868578689417312</v>
      </c>
      <c r="G23" s="426">
        <v>20983</v>
      </c>
      <c r="H23" s="421">
        <f t="shared" si="2"/>
        <v>76.177164639680527</v>
      </c>
      <c r="I23" s="426">
        <v>18896</v>
      </c>
      <c r="J23" s="421">
        <f t="shared" si="3"/>
        <v>68.600471954982751</v>
      </c>
      <c r="K23" s="426">
        <v>9311</v>
      </c>
      <c r="L23" s="421">
        <f t="shared" si="4"/>
        <v>33.802868034125979</v>
      </c>
      <c r="M23" s="399">
        <v>26597</v>
      </c>
      <c r="N23" s="400">
        <v>17281</v>
      </c>
      <c r="O23" s="14">
        <f t="shared" si="5"/>
        <v>64.973493251118555</v>
      </c>
      <c r="P23" s="413" t="s">
        <v>86</v>
      </c>
    </row>
    <row r="24" spans="1:16" x14ac:dyDescent="0.2">
      <c r="A24" s="415" t="s">
        <v>22</v>
      </c>
      <c r="B24" s="399">
        <v>22199</v>
      </c>
      <c r="C24" s="400">
        <v>19830</v>
      </c>
      <c r="D24" s="15">
        <f t="shared" si="0"/>
        <v>89.328348123789354</v>
      </c>
      <c r="E24" s="426">
        <v>18866</v>
      </c>
      <c r="F24" s="421">
        <f t="shared" si="1"/>
        <v>84.985810171629353</v>
      </c>
      <c r="G24" s="426">
        <v>18155</v>
      </c>
      <c r="H24" s="421">
        <f t="shared" si="2"/>
        <v>81.782963196540379</v>
      </c>
      <c r="I24" s="426">
        <v>19727</v>
      </c>
      <c r="J24" s="421">
        <f t="shared" si="3"/>
        <v>88.864363259606293</v>
      </c>
      <c r="K24" s="426">
        <v>10272</v>
      </c>
      <c r="L24" s="421">
        <f t="shared" si="4"/>
        <v>46.272354610568044</v>
      </c>
      <c r="M24" s="399">
        <v>22105</v>
      </c>
      <c r="N24" s="400">
        <v>18867</v>
      </c>
      <c r="O24" s="14">
        <f t="shared" si="5"/>
        <v>85.351730377742598</v>
      </c>
      <c r="P24" s="413" t="s">
        <v>86</v>
      </c>
    </row>
    <row r="25" spans="1:16" x14ac:dyDescent="0.2">
      <c r="A25" s="415" t="s">
        <v>24</v>
      </c>
      <c r="B25" s="399">
        <v>10884</v>
      </c>
      <c r="C25" s="400">
        <v>9394</v>
      </c>
      <c r="D25" s="15">
        <f t="shared" si="0"/>
        <v>86.310180080852632</v>
      </c>
      <c r="E25" s="426">
        <v>9370</v>
      </c>
      <c r="F25" s="421">
        <f t="shared" si="1"/>
        <v>86.089672914369714</v>
      </c>
      <c r="G25" s="426">
        <v>9454</v>
      </c>
      <c r="H25" s="421">
        <f t="shared" si="2"/>
        <v>86.861447997059898</v>
      </c>
      <c r="I25" s="426">
        <v>7825</v>
      </c>
      <c r="J25" s="421">
        <f t="shared" si="3"/>
        <v>71.89452407203234</v>
      </c>
      <c r="K25" s="426">
        <v>8001</v>
      </c>
      <c r="L25" s="421">
        <f t="shared" si="4"/>
        <v>73.511576626240355</v>
      </c>
      <c r="M25" s="409">
        <v>9746</v>
      </c>
      <c r="N25" s="400">
        <v>6787</v>
      </c>
      <c r="O25" s="14">
        <f t="shared" si="5"/>
        <v>69.638826185101578</v>
      </c>
      <c r="P25" s="413" t="s">
        <v>86</v>
      </c>
    </row>
    <row r="26" spans="1:16" x14ac:dyDescent="0.2">
      <c r="A26" s="415" t="s">
        <v>64</v>
      </c>
      <c r="B26" s="399">
        <v>31096</v>
      </c>
      <c r="C26" s="400">
        <v>22390</v>
      </c>
      <c r="D26" s="15">
        <f t="shared" si="0"/>
        <v>72.002829945973758</v>
      </c>
      <c r="E26" s="426">
        <v>21440</v>
      </c>
      <c r="F26" s="421">
        <f t="shared" si="1"/>
        <v>68.947774633393365</v>
      </c>
      <c r="G26" s="426">
        <v>20465</v>
      </c>
      <c r="H26" s="421">
        <f t="shared" si="2"/>
        <v>65.812323128376633</v>
      </c>
      <c r="I26" s="426">
        <v>23022</v>
      </c>
      <c r="J26" s="421">
        <f t="shared" si="3"/>
        <v>74.035245690764086</v>
      </c>
      <c r="K26" s="426">
        <v>12675</v>
      </c>
      <c r="L26" s="421">
        <f t="shared" si="4"/>
        <v>40.760869565217391</v>
      </c>
      <c r="M26" s="399">
        <v>27548</v>
      </c>
      <c r="N26" s="400">
        <v>26245</v>
      </c>
      <c r="O26" s="14">
        <f t="shared" si="5"/>
        <v>95.270074052562805</v>
      </c>
      <c r="P26" s="413" t="s">
        <v>86</v>
      </c>
    </row>
    <row r="27" spans="1:16" x14ac:dyDescent="0.2">
      <c r="A27" s="416" t="s">
        <v>122</v>
      </c>
      <c r="B27" s="399">
        <v>40969</v>
      </c>
      <c r="C27" s="400">
        <v>36172</v>
      </c>
      <c r="D27" s="15">
        <f t="shared" si="0"/>
        <v>88.29114696477825</v>
      </c>
      <c r="E27" s="426">
        <v>35316</v>
      </c>
      <c r="F27" s="421">
        <f t="shared" si="1"/>
        <v>86.2017623080866</v>
      </c>
      <c r="G27" s="426">
        <v>41421</v>
      </c>
      <c r="H27" s="421">
        <f t="shared" si="2"/>
        <v>101.10327320657082</v>
      </c>
      <c r="I27" s="426">
        <v>35678</v>
      </c>
      <c r="J27" s="421">
        <f t="shared" si="3"/>
        <v>87.085357221313672</v>
      </c>
      <c r="K27" s="426">
        <v>36107</v>
      </c>
      <c r="L27" s="421">
        <f t="shared" si="4"/>
        <v>88.132490419585537</v>
      </c>
      <c r="M27" s="399">
        <v>41775</v>
      </c>
      <c r="N27" s="400">
        <v>36405</v>
      </c>
      <c r="O27" s="14">
        <f t="shared" si="5"/>
        <v>87.145421903052068</v>
      </c>
      <c r="P27" s="413" t="s">
        <v>86</v>
      </c>
    </row>
    <row r="28" spans="1:16" x14ac:dyDescent="0.2">
      <c r="A28" s="415" t="s">
        <v>65</v>
      </c>
      <c r="B28" s="399">
        <v>802</v>
      </c>
      <c r="C28" s="400">
        <v>623</v>
      </c>
      <c r="D28" s="15">
        <f t="shared" si="0"/>
        <v>77.680798004987523</v>
      </c>
      <c r="E28" s="426">
        <v>585</v>
      </c>
      <c r="F28" s="421">
        <f t="shared" si="1"/>
        <v>72.942643391521202</v>
      </c>
      <c r="G28" s="426">
        <v>768</v>
      </c>
      <c r="H28" s="421">
        <f t="shared" si="2"/>
        <v>95.760598503740653</v>
      </c>
      <c r="I28" s="426">
        <v>490</v>
      </c>
      <c r="J28" s="421">
        <f t="shared" si="3"/>
        <v>61.097256857855363</v>
      </c>
      <c r="K28" s="426">
        <v>119</v>
      </c>
      <c r="L28" s="421">
        <f t="shared" si="4"/>
        <v>14.83790523690773</v>
      </c>
      <c r="M28" s="399">
        <v>1044</v>
      </c>
      <c r="N28" s="400">
        <v>409</v>
      </c>
      <c r="O28" s="14">
        <f t="shared" si="5"/>
        <v>39.17624521072797</v>
      </c>
      <c r="P28" s="413" t="s">
        <v>86</v>
      </c>
    </row>
    <row r="29" spans="1:16" x14ac:dyDescent="0.2">
      <c r="A29" s="415" t="s">
        <v>26</v>
      </c>
      <c r="B29" s="399">
        <v>3504</v>
      </c>
      <c r="C29" s="400">
        <v>2409</v>
      </c>
      <c r="D29" s="15">
        <f t="shared" ref="D29:D47" si="6">(C29/B29)*100</f>
        <v>68.75</v>
      </c>
      <c r="E29" s="426">
        <v>2405</v>
      </c>
      <c r="F29" s="421">
        <f t="shared" ref="F29:F47" si="7">(E29/B29)*100</f>
        <v>68.635844748858446</v>
      </c>
      <c r="G29" s="426">
        <v>3899</v>
      </c>
      <c r="H29" s="421">
        <f t="shared" ref="H29:H47" si="8">(G29/B29)*100</f>
        <v>111.27283105022832</v>
      </c>
      <c r="I29" s="426">
        <v>2874</v>
      </c>
      <c r="J29" s="421">
        <f t="shared" ref="J29:J47" si="9">(I29/B29)*100</f>
        <v>82.020547945205479</v>
      </c>
      <c r="K29" s="426">
        <v>1475</v>
      </c>
      <c r="L29" s="421">
        <f t="shared" ref="L29:L47" si="10">(K29/B29)*100</f>
        <v>42.094748858447488</v>
      </c>
      <c r="M29" s="409">
        <v>3081</v>
      </c>
      <c r="N29" s="400">
        <v>3638</v>
      </c>
      <c r="O29" s="14">
        <f t="shared" ref="O29:O47" si="11">(N29/M29)*100</f>
        <v>118.07854592664719</v>
      </c>
      <c r="P29" s="413" t="s">
        <v>86</v>
      </c>
    </row>
    <row r="30" spans="1:16" x14ac:dyDescent="0.2">
      <c r="A30" s="415" t="s">
        <v>27</v>
      </c>
      <c r="B30" s="399">
        <v>26376</v>
      </c>
      <c r="C30" s="400">
        <v>19892</v>
      </c>
      <c r="D30" s="15">
        <f t="shared" si="6"/>
        <v>75.417045799211408</v>
      </c>
      <c r="E30" s="426">
        <v>18127</v>
      </c>
      <c r="F30" s="421">
        <f t="shared" si="7"/>
        <v>68.725356384592047</v>
      </c>
      <c r="G30" s="426">
        <v>21452</v>
      </c>
      <c r="H30" s="421">
        <f t="shared" si="8"/>
        <v>81.331513497118593</v>
      </c>
      <c r="I30" s="426">
        <v>21555</v>
      </c>
      <c r="J30" s="421">
        <f t="shared" si="9"/>
        <v>81.722020018198364</v>
      </c>
      <c r="K30" s="426">
        <v>11893</v>
      </c>
      <c r="L30" s="421">
        <f t="shared" si="10"/>
        <v>45.090233545647557</v>
      </c>
      <c r="M30" s="399">
        <v>24008</v>
      </c>
      <c r="N30" s="400">
        <v>17169</v>
      </c>
      <c r="O30" s="14">
        <f t="shared" si="11"/>
        <v>71.513662112629135</v>
      </c>
      <c r="P30" s="413" t="s">
        <v>86</v>
      </c>
    </row>
    <row r="31" spans="1:16" x14ac:dyDescent="0.2">
      <c r="A31" s="431" t="s">
        <v>124</v>
      </c>
      <c r="B31" s="399">
        <v>12186</v>
      </c>
      <c r="C31" s="400">
        <v>6777</v>
      </c>
      <c r="D31" s="15">
        <f t="shared" si="6"/>
        <v>55.612998522895133</v>
      </c>
      <c r="E31" s="426">
        <v>6440</v>
      </c>
      <c r="F31" s="421">
        <f t="shared" si="7"/>
        <v>52.8475299524044</v>
      </c>
      <c r="G31" s="426">
        <v>5829</v>
      </c>
      <c r="H31" s="421">
        <f t="shared" si="8"/>
        <v>47.833579517479073</v>
      </c>
      <c r="I31" s="426">
        <v>7263</v>
      </c>
      <c r="J31" s="421">
        <f t="shared" si="9"/>
        <v>59.601181683899561</v>
      </c>
      <c r="K31" s="426">
        <v>3883</v>
      </c>
      <c r="L31" s="421">
        <f t="shared" si="10"/>
        <v>31.864434597078617</v>
      </c>
      <c r="M31" s="399">
        <v>12375</v>
      </c>
      <c r="N31" s="400">
        <v>6648</v>
      </c>
      <c r="O31" s="14">
        <f t="shared" si="11"/>
        <v>53.721212121212126</v>
      </c>
      <c r="P31" s="413" t="s">
        <v>86</v>
      </c>
    </row>
    <row r="32" spans="1:16" x14ac:dyDescent="0.2">
      <c r="A32" s="415" t="s">
        <v>28</v>
      </c>
      <c r="B32" s="399">
        <v>18918</v>
      </c>
      <c r="C32" s="400">
        <v>15001</v>
      </c>
      <c r="D32" s="15">
        <f t="shared" si="6"/>
        <v>79.294851464213977</v>
      </c>
      <c r="E32" s="426">
        <v>13938</v>
      </c>
      <c r="F32" s="421">
        <f t="shared" si="7"/>
        <v>73.675864256263878</v>
      </c>
      <c r="G32" s="426">
        <v>13199</v>
      </c>
      <c r="H32" s="421">
        <f t="shared" si="8"/>
        <v>69.769531662966486</v>
      </c>
      <c r="I32" s="426">
        <v>15235</v>
      </c>
      <c r="J32" s="421">
        <f t="shared" si="9"/>
        <v>80.531768685907608</v>
      </c>
      <c r="K32" s="426">
        <v>10137</v>
      </c>
      <c r="L32" s="421">
        <f t="shared" si="10"/>
        <v>53.583888360291787</v>
      </c>
      <c r="M32" s="399">
        <v>19055</v>
      </c>
      <c r="N32" s="400">
        <v>13299</v>
      </c>
      <c r="O32" s="14">
        <f t="shared" si="11"/>
        <v>69.792705326685905</v>
      </c>
      <c r="P32" s="413" t="s">
        <v>86</v>
      </c>
    </row>
    <row r="33" spans="1:16" x14ac:dyDescent="0.2">
      <c r="A33" s="430" t="s">
        <v>127</v>
      </c>
      <c r="B33" s="399">
        <v>7565</v>
      </c>
      <c r="C33" s="400">
        <v>6244</v>
      </c>
      <c r="D33" s="15">
        <f t="shared" si="6"/>
        <v>82.538003965631205</v>
      </c>
      <c r="E33" s="426">
        <v>5616</v>
      </c>
      <c r="F33" s="421">
        <f t="shared" si="7"/>
        <v>74.236615994712494</v>
      </c>
      <c r="G33" s="426">
        <v>6466</v>
      </c>
      <c r="H33" s="421">
        <f t="shared" si="8"/>
        <v>85.47257105089227</v>
      </c>
      <c r="I33" s="426">
        <v>6700</v>
      </c>
      <c r="J33" s="421">
        <f t="shared" si="9"/>
        <v>88.565763384005294</v>
      </c>
      <c r="K33" s="426">
        <v>8969</v>
      </c>
      <c r="L33" s="421">
        <f t="shared" si="10"/>
        <v>118.55915399867811</v>
      </c>
      <c r="M33" s="399">
        <v>10096</v>
      </c>
      <c r="N33" s="400">
        <v>11506</v>
      </c>
      <c r="O33" s="14">
        <f t="shared" si="11"/>
        <v>113.96592709984152</v>
      </c>
      <c r="P33" s="413" t="s">
        <v>86</v>
      </c>
    </row>
    <row r="34" spans="1:16" x14ac:dyDescent="0.2">
      <c r="A34" s="415" t="s">
        <v>29</v>
      </c>
      <c r="B34" s="399">
        <v>18346</v>
      </c>
      <c r="C34" s="400">
        <v>11465</v>
      </c>
      <c r="D34" s="15">
        <f t="shared" si="6"/>
        <v>62.493186525673174</v>
      </c>
      <c r="E34" s="426">
        <v>10431</v>
      </c>
      <c r="F34" s="421">
        <f t="shared" si="7"/>
        <v>56.857080562520444</v>
      </c>
      <c r="G34" s="426">
        <v>11231</v>
      </c>
      <c r="H34" s="421">
        <f t="shared" si="8"/>
        <v>61.21770413169083</v>
      </c>
      <c r="I34" s="426">
        <v>11382</v>
      </c>
      <c r="J34" s="421">
        <f t="shared" si="9"/>
        <v>62.040771830371746</v>
      </c>
      <c r="K34" s="426">
        <v>8901</v>
      </c>
      <c r="L34" s="421">
        <f t="shared" si="10"/>
        <v>48.517387986482071</v>
      </c>
      <c r="M34" s="409">
        <v>17806</v>
      </c>
      <c r="N34" s="400">
        <v>10351</v>
      </c>
      <c r="O34" s="14">
        <f t="shared" si="11"/>
        <v>58.132090306638204</v>
      </c>
      <c r="P34" s="413" t="s">
        <v>86</v>
      </c>
    </row>
    <row r="35" spans="1:16" x14ac:dyDescent="0.2">
      <c r="A35" s="415" t="s">
        <v>30</v>
      </c>
      <c r="B35" s="399">
        <v>34218</v>
      </c>
      <c r="C35" s="400">
        <v>21202</v>
      </c>
      <c r="D35" s="15">
        <f t="shared" si="6"/>
        <v>61.961540709568062</v>
      </c>
      <c r="E35" s="426">
        <v>19796</v>
      </c>
      <c r="F35" s="421">
        <f t="shared" si="7"/>
        <v>57.852592202934126</v>
      </c>
      <c r="G35" s="426">
        <v>19448</v>
      </c>
      <c r="H35" s="421">
        <f t="shared" si="8"/>
        <v>56.835583610964989</v>
      </c>
      <c r="I35" s="426">
        <v>18865</v>
      </c>
      <c r="J35" s="421">
        <f t="shared" si="9"/>
        <v>55.131801975568415</v>
      </c>
      <c r="K35" s="426">
        <v>12965</v>
      </c>
      <c r="L35" s="421">
        <f t="shared" si="10"/>
        <v>37.889414927815764</v>
      </c>
      <c r="M35" s="399">
        <v>30550</v>
      </c>
      <c r="N35" s="400">
        <v>18985</v>
      </c>
      <c r="O35" s="14">
        <f t="shared" si="11"/>
        <v>62.144026186579381</v>
      </c>
      <c r="P35" s="413" t="s">
        <v>86</v>
      </c>
    </row>
    <row r="36" spans="1:16" x14ac:dyDescent="0.2">
      <c r="A36" s="443" t="s">
        <v>125</v>
      </c>
      <c r="B36" s="399">
        <v>29978</v>
      </c>
      <c r="C36" s="400">
        <v>21032</v>
      </c>
      <c r="D36" s="15">
        <f t="shared" si="6"/>
        <v>70.158115951697908</v>
      </c>
      <c r="E36" s="426">
        <v>16572</v>
      </c>
      <c r="F36" s="421">
        <f t="shared" si="7"/>
        <v>55.280539061978786</v>
      </c>
      <c r="G36" s="426">
        <v>23373</v>
      </c>
      <c r="H36" s="421">
        <f t="shared" si="8"/>
        <v>77.967175929014616</v>
      </c>
      <c r="I36" s="426">
        <v>20645</v>
      </c>
      <c r="J36" s="421">
        <f t="shared" si="9"/>
        <v>68.867169257455458</v>
      </c>
      <c r="K36" s="426">
        <v>14979</v>
      </c>
      <c r="L36" s="421">
        <f t="shared" si="10"/>
        <v>49.96664220428314</v>
      </c>
      <c r="M36" s="399">
        <v>28487</v>
      </c>
      <c r="N36" s="400">
        <v>23267</v>
      </c>
      <c r="O36" s="14">
        <f t="shared" si="11"/>
        <v>81.675852143082807</v>
      </c>
      <c r="P36" s="413" t="s">
        <v>86</v>
      </c>
    </row>
    <row r="37" spans="1:16" x14ac:dyDescent="0.2">
      <c r="A37" s="415" t="s">
        <v>31</v>
      </c>
      <c r="B37" s="399">
        <v>10906</v>
      </c>
      <c r="C37" s="400">
        <v>8203</v>
      </c>
      <c r="D37" s="15">
        <f t="shared" si="6"/>
        <v>75.215477718686969</v>
      </c>
      <c r="E37" s="426">
        <v>8133</v>
      </c>
      <c r="F37" s="421">
        <f t="shared" si="7"/>
        <v>74.573629194938562</v>
      </c>
      <c r="G37" s="426">
        <v>4929</v>
      </c>
      <c r="H37" s="421">
        <f t="shared" si="8"/>
        <v>45.195305336512007</v>
      </c>
      <c r="I37" s="426">
        <v>5953</v>
      </c>
      <c r="J37" s="421">
        <f t="shared" si="9"/>
        <v>54.584632312488537</v>
      </c>
      <c r="K37" s="426">
        <v>3817</v>
      </c>
      <c r="L37" s="421">
        <f t="shared" si="10"/>
        <v>34.999083073537498</v>
      </c>
      <c r="M37" s="399">
        <v>8673</v>
      </c>
      <c r="N37" s="400">
        <v>6400</v>
      </c>
      <c r="O37" s="14">
        <f t="shared" si="11"/>
        <v>73.792228755909136</v>
      </c>
      <c r="P37" s="413" t="s">
        <v>86</v>
      </c>
    </row>
    <row r="38" spans="1:16" x14ac:dyDescent="0.2">
      <c r="A38" s="415" t="s">
        <v>32</v>
      </c>
      <c r="B38" s="399">
        <v>9206</v>
      </c>
      <c r="C38" s="400">
        <v>8448</v>
      </c>
      <c r="D38" s="15">
        <f t="shared" si="6"/>
        <v>91.766239409081024</v>
      </c>
      <c r="E38" s="426">
        <v>8579</v>
      </c>
      <c r="F38" s="421">
        <f t="shared" si="7"/>
        <v>93.189224418857265</v>
      </c>
      <c r="G38" s="426">
        <v>9106</v>
      </c>
      <c r="H38" s="421">
        <f t="shared" si="8"/>
        <v>98.913751900934173</v>
      </c>
      <c r="I38" s="426">
        <v>8695</v>
      </c>
      <c r="J38" s="421">
        <f t="shared" si="9"/>
        <v>94.449272213773625</v>
      </c>
      <c r="K38" s="426">
        <v>7469</v>
      </c>
      <c r="L38" s="421">
        <f t="shared" si="10"/>
        <v>81.131870519226595</v>
      </c>
      <c r="M38" s="399">
        <v>14257</v>
      </c>
      <c r="N38" s="400">
        <v>11522</v>
      </c>
      <c r="O38" s="14">
        <f t="shared" si="11"/>
        <v>80.816441046503471</v>
      </c>
      <c r="P38" s="413" t="s">
        <v>86</v>
      </c>
    </row>
    <row r="39" spans="1:16" x14ac:dyDescent="0.2">
      <c r="A39" s="415" t="s">
        <v>33</v>
      </c>
      <c r="B39" s="399">
        <v>14506</v>
      </c>
      <c r="C39" s="400">
        <v>8383</v>
      </c>
      <c r="D39" s="15">
        <f t="shared" si="6"/>
        <v>57.789880049634633</v>
      </c>
      <c r="E39" s="426">
        <v>8879</v>
      </c>
      <c r="F39" s="421">
        <f t="shared" si="7"/>
        <v>61.209154832483115</v>
      </c>
      <c r="G39" s="426">
        <v>11754</v>
      </c>
      <c r="H39" s="421">
        <f t="shared" si="8"/>
        <v>81.02853991451812</v>
      </c>
      <c r="I39" s="426">
        <v>10172</v>
      </c>
      <c r="J39" s="421">
        <f t="shared" si="9"/>
        <v>70.122707845029637</v>
      </c>
      <c r="K39" s="426">
        <v>5838</v>
      </c>
      <c r="L39" s="421">
        <f t="shared" si="10"/>
        <v>40.245415690059289</v>
      </c>
      <c r="M39" s="409">
        <v>17603</v>
      </c>
      <c r="N39" s="400">
        <v>10411</v>
      </c>
      <c r="O39" s="14">
        <f t="shared" si="11"/>
        <v>59.143327841845142</v>
      </c>
      <c r="P39" s="413" t="s">
        <v>86</v>
      </c>
    </row>
    <row r="40" spans="1:16" x14ac:dyDescent="0.2">
      <c r="A40" s="415" t="s">
        <v>34</v>
      </c>
      <c r="B40" s="399">
        <v>1207</v>
      </c>
      <c r="C40" s="400">
        <v>1174</v>
      </c>
      <c r="D40" s="15">
        <f t="shared" si="6"/>
        <v>97.265948632974315</v>
      </c>
      <c r="E40" s="426">
        <v>1167</v>
      </c>
      <c r="F40" s="421">
        <f t="shared" si="7"/>
        <v>96.68599834299917</v>
      </c>
      <c r="G40" s="426">
        <v>1036</v>
      </c>
      <c r="H40" s="421">
        <f t="shared" si="8"/>
        <v>85.832642916321461</v>
      </c>
      <c r="I40" s="426">
        <v>1141</v>
      </c>
      <c r="J40" s="421">
        <f t="shared" si="9"/>
        <v>94.531897265948629</v>
      </c>
      <c r="K40" s="426">
        <v>912</v>
      </c>
      <c r="L40" s="421">
        <f t="shared" si="10"/>
        <v>75.559237779618897</v>
      </c>
      <c r="M40" s="399">
        <v>1207</v>
      </c>
      <c r="N40" s="400">
        <v>1209</v>
      </c>
      <c r="O40" s="14">
        <f t="shared" si="11"/>
        <v>100.16570008285004</v>
      </c>
      <c r="P40" s="413" t="s">
        <v>86</v>
      </c>
    </row>
    <row r="41" spans="1:16" x14ac:dyDescent="0.2">
      <c r="A41" s="415" t="s">
        <v>35</v>
      </c>
      <c r="B41" s="399">
        <v>40530</v>
      </c>
      <c r="C41" s="400">
        <v>32134</v>
      </c>
      <c r="D41" s="15">
        <f t="shared" si="6"/>
        <v>79.284480631630899</v>
      </c>
      <c r="E41" s="426">
        <v>31379</v>
      </c>
      <c r="F41" s="421">
        <f t="shared" si="7"/>
        <v>77.421662965704414</v>
      </c>
      <c r="G41" s="426">
        <v>30098</v>
      </c>
      <c r="H41" s="421">
        <f t="shared" si="8"/>
        <v>74.261041204046379</v>
      </c>
      <c r="I41" s="426">
        <v>31529</v>
      </c>
      <c r="J41" s="421">
        <f t="shared" si="9"/>
        <v>77.791759190722914</v>
      </c>
      <c r="K41" s="426">
        <v>20858</v>
      </c>
      <c r="L41" s="421">
        <f t="shared" si="10"/>
        <v>51.463113742906486</v>
      </c>
      <c r="M41" s="399">
        <v>38585</v>
      </c>
      <c r="N41" s="400">
        <v>23625</v>
      </c>
      <c r="O41" s="14">
        <f t="shared" si="11"/>
        <v>61.228456654140203</v>
      </c>
      <c r="P41" s="413" t="s">
        <v>86</v>
      </c>
    </row>
    <row r="42" spans="1:16" x14ac:dyDescent="0.2">
      <c r="A42" s="415" t="s">
        <v>36</v>
      </c>
      <c r="B42" s="399">
        <v>17907</v>
      </c>
      <c r="C42" s="400">
        <v>15003</v>
      </c>
      <c r="D42" s="15">
        <f t="shared" si="6"/>
        <v>83.782878204054285</v>
      </c>
      <c r="E42" s="426">
        <v>14631</v>
      </c>
      <c r="F42" s="421">
        <f t="shared" si="7"/>
        <v>81.705478304573631</v>
      </c>
      <c r="G42" s="426">
        <v>12840</v>
      </c>
      <c r="H42" s="421">
        <f t="shared" si="8"/>
        <v>71.703802982074052</v>
      </c>
      <c r="I42" s="426">
        <v>13012</v>
      </c>
      <c r="J42" s="421">
        <f t="shared" si="9"/>
        <v>72.664321215167249</v>
      </c>
      <c r="K42" s="426">
        <v>8885</v>
      </c>
      <c r="L42" s="421">
        <f t="shared" si="10"/>
        <v>49.617468029262298</v>
      </c>
      <c r="M42" s="399">
        <v>15811</v>
      </c>
      <c r="N42" s="400">
        <v>13816</v>
      </c>
      <c r="O42" s="14">
        <f t="shared" si="11"/>
        <v>87.382202264246416</v>
      </c>
      <c r="P42" s="413" t="s">
        <v>86</v>
      </c>
    </row>
    <row r="43" spans="1:16" x14ac:dyDescent="0.2">
      <c r="A43" s="415" t="s">
        <v>37</v>
      </c>
      <c r="B43" s="399">
        <v>27522</v>
      </c>
      <c r="C43" s="400">
        <v>23850</v>
      </c>
      <c r="D43" s="15">
        <f t="shared" si="6"/>
        <v>86.657946370176589</v>
      </c>
      <c r="E43" s="426">
        <v>23998</v>
      </c>
      <c r="F43" s="421">
        <f t="shared" si="7"/>
        <v>87.195697987064889</v>
      </c>
      <c r="G43" s="426">
        <v>27532</v>
      </c>
      <c r="H43" s="421">
        <f t="shared" si="8"/>
        <v>100.03633456870867</v>
      </c>
      <c r="I43" s="426">
        <v>23529</v>
      </c>
      <c r="J43" s="421">
        <f t="shared" si="9"/>
        <v>85.491606714628304</v>
      </c>
      <c r="K43" s="426">
        <v>11592</v>
      </c>
      <c r="L43" s="421">
        <f t="shared" si="10"/>
        <v>42.119032047089597</v>
      </c>
      <c r="M43" s="409">
        <v>28276</v>
      </c>
      <c r="N43" s="400">
        <v>21839</v>
      </c>
      <c r="O43" s="14">
        <f t="shared" si="11"/>
        <v>77.235111048238792</v>
      </c>
      <c r="P43" s="413" t="s">
        <v>86</v>
      </c>
    </row>
    <row r="44" spans="1:16" x14ac:dyDescent="0.2">
      <c r="A44" s="415" t="s">
        <v>38</v>
      </c>
      <c r="B44" s="399">
        <v>86235</v>
      </c>
      <c r="C44" s="400">
        <v>60176</v>
      </c>
      <c r="D44" s="15">
        <f t="shared" si="6"/>
        <v>69.781411259929257</v>
      </c>
      <c r="E44" s="426">
        <v>61331</v>
      </c>
      <c r="F44" s="421">
        <f t="shared" si="7"/>
        <v>71.120774627471434</v>
      </c>
      <c r="G44" s="426">
        <v>59675</v>
      </c>
      <c r="H44" s="421">
        <f t="shared" si="8"/>
        <v>69.200440656346032</v>
      </c>
      <c r="I44" s="426">
        <v>63517</v>
      </c>
      <c r="J44" s="421">
        <f t="shared" si="9"/>
        <v>73.655708239114048</v>
      </c>
      <c r="K44" s="426">
        <v>42915</v>
      </c>
      <c r="L44" s="421">
        <f t="shared" si="10"/>
        <v>49.765176552443904</v>
      </c>
      <c r="M44" s="399">
        <v>86822</v>
      </c>
      <c r="N44" s="400">
        <v>53431</v>
      </c>
      <c r="O44" s="14">
        <f t="shared" si="11"/>
        <v>61.540853700674944</v>
      </c>
      <c r="P44" s="413" t="s">
        <v>86</v>
      </c>
    </row>
    <row r="45" spans="1:16" x14ac:dyDescent="0.2">
      <c r="A45" s="415" t="s">
        <v>39</v>
      </c>
      <c r="B45" s="399">
        <v>1010</v>
      </c>
      <c r="C45" s="400">
        <v>357</v>
      </c>
      <c r="D45" s="15">
        <f t="shared" si="6"/>
        <v>35.346534653465348</v>
      </c>
      <c r="E45" s="426">
        <v>429</v>
      </c>
      <c r="F45" s="421">
        <f t="shared" si="7"/>
        <v>42.475247524752476</v>
      </c>
      <c r="G45" s="426">
        <v>580</v>
      </c>
      <c r="H45" s="421">
        <f t="shared" si="8"/>
        <v>57.42574257425742</v>
      </c>
      <c r="I45" s="426">
        <v>418</v>
      </c>
      <c r="J45" s="421">
        <f t="shared" si="9"/>
        <v>41.386138613861384</v>
      </c>
      <c r="K45" s="426">
        <v>296</v>
      </c>
      <c r="L45" s="421">
        <f t="shared" si="10"/>
        <v>29.306930693069305</v>
      </c>
      <c r="M45" s="399">
        <v>818</v>
      </c>
      <c r="N45" s="400">
        <v>511</v>
      </c>
      <c r="O45" s="14">
        <f t="shared" si="11"/>
        <v>62.469437652811735</v>
      </c>
      <c r="P45" s="413" t="s">
        <v>86</v>
      </c>
    </row>
    <row r="46" spans="1:16" ht="13.5" thickBot="1" x14ac:dyDescent="0.25">
      <c r="A46" s="418" t="s">
        <v>40</v>
      </c>
      <c r="B46" s="404">
        <v>1131</v>
      </c>
      <c r="C46" s="405">
        <v>974</v>
      </c>
      <c r="D46" s="370">
        <f t="shared" si="6"/>
        <v>86.118479221927501</v>
      </c>
      <c r="E46" s="427">
        <v>897</v>
      </c>
      <c r="F46" s="422">
        <f t="shared" si="7"/>
        <v>79.310344827586206</v>
      </c>
      <c r="G46" s="427">
        <v>986</v>
      </c>
      <c r="H46" s="422">
        <f t="shared" si="8"/>
        <v>87.179487179487182</v>
      </c>
      <c r="I46" s="427">
        <v>894</v>
      </c>
      <c r="J46" s="422">
        <f t="shared" si="9"/>
        <v>79.045092838196283</v>
      </c>
      <c r="K46" s="427">
        <v>543</v>
      </c>
      <c r="L46" s="422">
        <f t="shared" si="10"/>
        <v>48.010610079575592</v>
      </c>
      <c r="M46" s="423">
        <v>1200</v>
      </c>
      <c r="N46" s="405">
        <v>970</v>
      </c>
      <c r="O46" s="369">
        <f t="shared" si="11"/>
        <v>80.833333333333329</v>
      </c>
      <c r="P46" s="413" t="s">
        <v>86</v>
      </c>
    </row>
    <row r="47" spans="1:16" ht="13.5" thickBot="1" x14ac:dyDescent="0.25">
      <c r="A47" s="419" t="s">
        <v>41</v>
      </c>
      <c r="B47" s="428">
        <f>SUM(B11:B46)</f>
        <v>911867</v>
      </c>
      <c r="C47" s="429">
        <f>SUM(C11:C46)</f>
        <v>706168</v>
      </c>
      <c r="D47" s="373">
        <f t="shared" si="6"/>
        <v>77.441995378712022</v>
      </c>
      <c r="E47" s="429">
        <f>SUM(E11:E46)</f>
        <v>674940</v>
      </c>
      <c r="F47" s="373">
        <f t="shared" si="7"/>
        <v>74.017373147619111</v>
      </c>
      <c r="G47" s="429">
        <f>SUM(G11:G46)</f>
        <v>727418</v>
      </c>
      <c r="H47" s="373">
        <f t="shared" si="8"/>
        <v>79.772379085985122</v>
      </c>
      <c r="I47" s="429">
        <f>SUM(I11:I46)</f>
        <v>704492</v>
      </c>
      <c r="J47" s="373">
        <f t="shared" si="9"/>
        <v>77.258196644905453</v>
      </c>
      <c r="K47" s="429">
        <f>SUM(K11:K46)</f>
        <v>458451</v>
      </c>
      <c r="L47" s="373">
        <f t="shared" si="10"/>
        <v>50.276081928614587</v>
      </c>
      <c r="M47" s="429">
        <f>SUM(M11:M46)</f>
        <v>897529</v>
      </c>
      <c r="N47" s="429">
        <f>SUM(N11:N46)</f>
        <v>689723</v>
      </c>
      <c r="O47" s="375">
        <f t="shared" si="11"/>
        <v>76.846876256923181</v>
      </c>
      <c r="P47" s="417"/>
    </row>
    <row r="48" spans="1:16" x14ac:dyDescent="0.2">
      <c r="A48" s="75" t="s">
        <v>87</v>
      </c>
    </row>
    <row r="50" spans="1:15" x14ac:dyDescent="0.2">
      <c r="A50" s="17" t="s">
        <v>14</v>
      </c>
      <c r="B50" s="17">
        <f>B14+B15</f>
        <v>43238</v>
      </c>
      <c r="E50" s="17">
        <f>E14+E15</f>
        <v>42371</v>
      </c>
      <c r="F50" s="76">
        <f>(E50/B50)*100</f>
        <v>97.994819371848834</v>
      </c>
      <c r="M50" s="17">
        <f>M14+M15</f>
        <v>49107</v>
      </c>
      <c r="N50" s="17">
        <f>N14+N15</f>
        <v>38763</v>
      </c>
      <c r="O50" s="76">
        <f>(N50/M50)*100</f>
        <v>78.935793267762236</v>
      </c>
    </row>
    <row r="51" spans="1:15" x14ac:dyDescent="0.2">
      <c r="A51" s="17" t="s">
        <v>62</v>
      </c>
      <c r="B51" s="17">
        <f>B17+B18</f>
        <v>47230</v>
      </c>
      <c r="E51" s="17">
        <f>E17+E18</f>
        <v>35471</v>
      </c>
      <c r="F51" s="76">
        <f>(E51/B51)*100</f>
        <v>75.102688968875725</v>
      </c>
      <c r="M51" s="17">
        <f>M17+M18</f>
        <v>47429</v>
      </c>
      <c r="N51" s="17">
        <f>N17+N18</f>
        <v>35553</v>
      </c>
      <c r="O51" s="76">
        <f>(N51/M51)*100</f>
        <v>74.960467224693744</v>
      </c>
    </row>
    <row r="52" spans="1:15" x14ac:dyDescent="0.2">
      <c r="A52" s="178" t="s">
        <v>28</v>
      </c>
      <c r="B52" s="17">
        <f>B32+B33</f>
        <v>26483</v>
      </c>
      <c r="E52" s="17">
        <f>E32+E33</f>
        <v>19554</v>
      </c>
      <c r="F52" s="76">
        <f>(E52/B52)*100</f>
        <v>73.836045765207871</v>
      </c>
      <c r="M52" s="17">
        <f>M32+M33</f>
        <v>29151</v>
      </c>
      <c r="N52" s="17">
        <f>N32+N33</f>
        <v>24805</v>
      </c>
      <c r="O52" s="76">
        <f>(N52/M52)*100</f>
        <v>85.091420534458507</v>
      </c>
    </row>
  </sheetData>
  <mergeCells count="7">
    <mergeCell ref="A8:P8"/>
    <mergeCell ref="K9:L9"/>
    <mergeCell ref="N9:O9"/>
    <mergeCell ref="C9:D9"/>
    <mergeCell ref="E9:F9"/>
    <mergeCell ref="G9:H9"/>
    <mergeCell ref="I9:J9"/>
  </mergeCells>
  <phoneticPr fontId="11" type="noConversion"/>
  <printOptions horizontalCentered="1" verticalCentered="1"/>
  <pageMargins left="0.59055118110236227" right="0.27559055118110237" top="0.98425196850393704" bottom="0.15748031496062992" header="0.39370078740157483" footer="0"/>
  <pageSetup scale="90" orientation="landscape" horizontalDpi="4294967295" verticalDpi="4294967295" r:id="rId1"/>
  <headerFooter alignWithMargins="0">
    <oddHeader>&amp;L          &amp;G&amp;C&amp;"Arial,Negrita"MINISTERIO DE LA PROTECCION SOCIAL
República de Colombia
Dirección General de Salud Pública
Programa Ampliado de Inmunizaciones - PAI</oddHeader>
    <oddFooter>&amp;L     &amp;P&amp;C&amp;F</oddFooter>
  </headerFooter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6"/>
  </sheetPr>
  <dimension ref="A5:P48"/>
  <sheetViews>
    <sheetView zoomScale="90" zoomScaleNormal="90" workbookViewId="0">
      <pane xSplit="2" ySplit="10" topLeftCell="C11" activePane="bottomRight" state="frozen"/>
      <selection activeCell="A4" sqref="A4"/>
      <selection pane="topRight" activeCell="A4" sqref="A4"/>
      <selection pane="bottomLeft" activeCell="A4" sqref="A4"/>
      <selection pane="bottomRight" activeCell="C11" sqref="C11"/>
    </sheetView>
  </sheetViews>
  <sheetFormatPr baseColWidth="10" defaultRowHeight="12.75" x14ac:dyDescent="0.2"/>
  <cols>
    <col min="1" max="1" width="23.140625" style="17" customWidth="1"/>
    <col min="2" max="2" width="11.85546875" style="17" bestFit="1" customWidth="1"/>
    <col min="3" max="3" width="11.28515625" style="17" bestFit="1" customWidth="1"/>
    <col min="4" max="4" width="6.7109375" style="17" customWidth="1"/>
    <col min="5" max="5" width="11.28515625" style="17" bestFit="1" customWidth="1"/>
    <col min="6" max="6" width="7.5703125" style="17" customWidth="1"/>
    <col min="7" max="7" width="11.28515625" style="17" bestFit="1" customWidth="1"/>
    <col min="8" max="8" width="6.7109375" style="17" customWidth="1"/>
    <col min="9" max="9" width="11.28515625" style="17" bestFit="1" customWidth="1"/>
    <col min="10" max="10" width="4.5703125" style="17" bestFit="1" customWidth="1"/>
    <col min="11" max="11" width="11.28515625" style="17" bestFit="1" customWidth="1"/>
    <col min="12" max="12" width="4.5703125" style="17" bestFit="1" customWidth="1"/>
    <col min="13" max="13" width="11.85546875" style="17" bestFit="1" customWidth="1"/>
    <col min="14" max="14" width="11.28515625" style="17" bestFit="1" customWidth="1"/>
    <col min="15" max="15" width="6.7109375" style="17" customWidth="1"/>
    <col min="16" max="16" width="8" style="17" bestFit="1" customWidth="1"/>
    <col min="17" max="16384" width="11.42578125" style="17"/>
  </cols>
  <sheetData>
    <row r="5" spans="1:16" x14ac:dyDescent="0.2">
      <c r="A5" s="702" t="s">
        <v>305</v>
      </c>
      <c r="B5" s="753" t="s">
        <v>323</v>
      </c>
    </row>
    <row r="6" spans="1:16" x14ac:dyDescent="0.2">
      <c r="A6" s="702" t="s">
        <v>306</v>
      </c>
      <c r="B6" s="776">
        <v>36901</v>
      </c>
    </row>
    <row r="7" spans="1:16" x14ac:dyDescent="0.2">
      <c r="A7" s="702" t="s">
        <v>307</v>
      </c>
      <c r="B7" s="766" t="s">
        <v>312</v>
      </c>
    </row>
    <row r="8" spans="1:16" ht="21.75" customHeight="1" thickBot="1" x14ac:dyDescent="0.25">
      <c r="A8" s="1863" t="s">
        <v>88</v>
      </c>
      <c r="B8" s="1863"/>
      <c r="C8" s="1863"/>
      <c r="D8" s="1863"/>
      <c r="E8" s="1863"/>
      <c r="F8" s="1863"/>
      <c r="G8" s="1863"/>
      <c r="H8" s="1863"/>
      <c r="I8" s="1863"/>
      <c r="J8" s="1863"/>
      <c r="K8" s="1863"/>
      <c r="L8" s="1863"/>
      <c r="M8" s="1863"/>
      <c r="N8" s="1863"/>
      <c r="O8" s="1863"/>
      <c r="P8" s="1863"/>
    </row>
    <row r="9" spans="1:16" ht="18.75" customHeight="1" thickBot="1" x14ac:dyDescent="0.25">
      <c r="A9" s="31" t="s">
        <v>79</v>
      </c>
      <c r="B9" s="9" t="s">
        <v>53</v>
      </c>
      <c r="C9" s="1864" t="s">
        <v>3</v>
      </c>
      <c r="D9" s="1865"/>
      <c r="E9" s="1864" t="s">
        <v>6</v>
      </c>
      <c r="F9" s="1865"/>
      <c r="G9" s="1864" t="s">
        <v>7</v>
      </c>
      <c r="H9" s="1866"/>
      <c r="I9" s="1867" t="s">
        <v>54</v>
      </c>
      <c r="J9" s="1865"/>
      <c r="K9" s="1864" t="s">
        <v>89</v>
      </c>
      <c r="L9" s="1865"/>
      <c r="M9" s="27" t="s">
        <v>81</v>
      </c>
      <c r="N9" s="1864" t="s">
        <v>90</v>
      </c>
      <c r="O9" s="1865"/>
      <c r="P9" s="30" t="s">
        <v>82</v>
      </c>
    </row>
    <row r="10" spans="1:16" ht="20.25" customHeight="1" thickBot="1" x14ac:dyDescent="0.25">
      <c r="A10" s="432"/>
      <c r="B10" s="33" t="s">
        <v>74</v>
      </c>
      <c r="C10" s="33" t="s">
        <v>83</v>
      </c>
      <c r="D10" s="33" t="s">
        <v>5</v>
      </c>
      <c r="E10" s="33" t="s">
        <v>83</v>
      </c>
      <c r="F10" s="33" t="s">
        <v>5</v>
      </c>
      <c r="G10" s="33" t="s">
        <v>91</v>
      </c>
      <c r="H10" s="33" t="s">
        <v>5</v>
      </c>
      <c r="I10" s="33" t="s">
        <v>83</v>
      </c>
      <c r="J10" s="33" t="s">
        <v>5</v>
      </c>
      <c r="K10" s="34" t="s">
        <v>83</v>
      </c>
      <c r="L10" s="33" t="s">
        <v>5</v>
      </c>
      <c r="M10" s="35" t="s">
        <v>92</v>
      </c>
      <c r="N10" s="34" t="s">
        <v>91</v>
      </c>
      <c r="O10" s="33" t="s">
        <v>5</v>
      </c>
      <c r="P10" s="33" t="s">
        <v>85</v>
      </c>
    </row>
    <row r="11" spans="1:16" x14ac:dyDescent="0.2">
      <c r="A11" s="414" t="s">
        <v>12</v>
      </c>
      <c r="B11" s="397">
        <v>2361</v>
      </c>
      <c r="C11" s="398">
        <v>700</v>
      </c>
      <c r="D11" s="11">
        <f>(C11/B11)*100</f>
        <v>29.648454044896233</v>
      </c>
      <c r="E11" s="393">
        <v>727</v>
      </c>
      <c r="F11" s="11">
        <f>(E11/B11)*100</f>
        <v>30.792037272342228</v>
      </c>
      <c r="G11" s="393">
        <v>1307</v>
      </c>
      <c r="H11" s="11">
        <f>(G11/B11)*100</f>
        <v>55.357899195256245</v>
      </c>
      <c r="I11" s="393">
        <v>773</v>
      </c>
      <c r="J11" s="11">
        <f>(I11/B11)*100</f>
        <v>32.740364252435413</v>
      </c>
      <c r="K11" s="393">
        <v>481</v>
      </c>
      <c r="L11" s="12">
        <f>(K11/B11)*100</f>
        <v>20.372723422278696</v>
      </c>
      <c r="M11" s="408">
        <v>2358</v>
      </c>
      <c r="N11" s="398">
        <v>811</v>
      </c>
      <c r="O11" s="11">
        <f>(N11/M11)*100</f>
        <v>34.393553859202711</v>
      </c>
      <c r="P11" s="411" t="s">
        <v>93</v>
      </c>
    </row>
    <row r="12" spans="1:16" x14ac:dyDescent="0.2">
      <c r="A12" s="415" t="s">
        <v>11</v>
      </c>
      <c r="B12" s="399">
        <v>104717</v>
      </c>
      <c r="C12" s="400">
        <v>89131</v>
      </c>
      <c r="D12" s="14">
        <f>(C12/B12)*100</f>
        <v>85.116074753860403</v>
      </c>
      <c r="E12" s="394">
        <v>86399</v>
      </c>
      <c r="F12" s="14">
        <f>(E12/B12)*100</f>
        <v>82.507138287002107</v>
      </c>
      <c r="G12" s="394">
        <v>105730</v>
      </c>
      <c r="H12" s="14">
        <f>(G12/B12)*100</f>
        <v>100.96736919506861</v>
      </c>
      <c r="I12" s="394">
        <v>87015</v>
      </c>
      <c r="J12" s="14">
        <f>(I12/B12)*100</f>
        <v>83.095390433262978</v>
      </c>
      <c r="K12" s="394">
        <v>59822</v>
      </c>
      <c r="L12" s="15">
        <f>(K12/B12)*100</f>
        <v>57.127305022107201</v>
      </c>
      <c r="M12" s="399">
        <v>97745</v>
      </c>
      <c r="N12" s="400">
        <v>93132</v>
      </c>
      <c r="O12" s="14">
        <f>(N12/M12)*100</f>
        <v>95.28057701161184</v>
      </c>
      <c r="P12" s="413" t="s">
        <v>93</v>
      </c>
    </row>
    <row r="13" spans="1:16" x14ac:dyDescent="0.2">
      <c r="A13" s="415" t="s">
        <v>13</v>
      </c>
      <c r="B13" s="399">
        <v>6180</v>
      </c>
      <c r="C13" s="401">
        <v>3568</v>
      </c>
      <c r="D13" s="14">
        <f t="shared" ref="D13:D28" si="0">(C13/B13)*100</f>
        <v>57.734627831715216</v>
      </c>
      <c r="E13" s="394">
        <v>3398</v>
      </c>
      <c r="F13" s="14">
        <f t="shared" ref="F13:F28" si="1">(E13/B13)*100</f>
        <v>54.983818770226534</v>
      </c>
      <c r="G13" s="394">
        <v>3912</v>
      </c>
      <c r="H13" s="14">
        <f t="shared" ref="H13:H28" si="2">(G13/B13)*100</f>
        <v>63.300970873786412</v>
      </c>
      <c r="I13" s="394">
        <v>2917</v>
      </c>
      <c r="J13" s="14">
        <f t="shared" ref="J13:J28" si="3">(I13/B13)*100</f>
        <v>47.200647249190943</v>
      </c>
      <c r="K13" s="394">
        <v>2384</v>
      </c>
      <c r="L13" s="15">
        <f t="shared" ref="L13:L28" si="4">(K13/B13)*100</f>
        <v>38.576051779935277</v>
      </c>
      <c r="M13" s="399">
        <v>4925</v>
      </c>
      <c r="N13" s="400">
        <v>3670</v>
      </c>
      <c r="O13" s="14">
        <f t="shared" ref="O13:O28" si="5">(N13/M13)*100</f>
        <v>74.51776649746192</v>
      </c>
      <c r="P13" s="413" t="s">
        <v>93</v>
      </c>
    </row>
    <row r="14" spans="1:16" x14ac:dyDescent="0.2">
      <c r="A14" s="415" t="s">
        <v>14</v>
      </c>
      <c r="B14" s="399">
        <v>20211</v>
      </c>
      <c r="C14" s="400">
        <v>19941</v>
      </c>
      <c r="D14" s="14">
        <f t="shared" si="0"/>
        <v>98.664093810301324</v>
      </c>
      <c r="E14" s="394">
        <v>15841</v>
      </c>
      <c r="F14" s="14">
        <f t="shared" si="1"/>
        <v>78.378110929691744</v>
      </c>
      <c r="G14" s="394">
        <v>19964</v>
      </c>
      <c r="H14" s="14">
        <f t="shared" si="2"/>
        <v>98.777893226460833</v>
      </c>
      <c r="I14" s="394">
        <v>19287</v>
      </c>
      <c r="J14" s="14">
        <f t="shared" si="3"/>
        <v>95.428232150808967</v>
      </c>
      <c r="K14" s="394">
        <v>17893</v>
      </c>
      <c r="L14" s="15">
        <f t="shared" si="4"/>
        <v>88.530997971401717</v>
      </c>
      <c r="M14" s="399">
        <v>19992</v>
      </c>
      <c r="N14" s="400">
        <v>16131</v>
      </c>
      <c r="O14" s="14">
        <f t="shared" si="5"/>
        <v>80.687274909963989</v>
      </c>
      <c r="P14" s="413" t="s">
        <v>93</v>
      </c>
    </row>
    <row r="15" spans="1:16" x14ac:dyDescent="0.2">
      <c r="A15" s="430" t="s">
        <v>115</v>
      </c>
      <c r="B15" s="399">
        <v>24021</v>
      </c>
      <c r="C15" s="400">
        <v>27282</v>
      </c>
      <c r="D15" s="14">
        <f t="shared" si="0"/>
        <v>113.57562133133507</v>
      </c>
      <c r="E15" s="394">
        <v>20754</v>
      </c>
      <c r="F15" s="14">
        <f t="shared" si="1"/>
        <v>86.399400524541022</v>
      </c>
      <c r="G15" s="394">
        <v>31997</v>
      </c>
      <c r="H15" s="14">
        <f t="shared" si="2"/>
        <v>133.20427958869323</v>
      </c>
      <c r="I15" s="394">
        <v>22171</v>
      </c>
      <c r="J15" s="14">
        <f t="shared" si="3"/>
        <v>92.298405561800095</v>
      </c>
      <c r="K15" s="394">
        <v>21459</v>
      </c>
      <c r="L15" s="15">
        <f t="shared" si="4"/>
        <v>89.334332459098292</v>
      </c>
      <c r="M15" s="399">
        <v>30117</v>
      </c>
      <c r="N15" s="400">
        <v>23546</v>
      </c>
      <c r="O15" s="14">
        <f t="shared" si="5"/>
        <v>78.181757811202985</v>
      </c>
      <c r="P15" s="413" t="s">
        <v>93</v>
      </c>
    </row>
    <row r="16" spans="1:16" x14ac:dyDescent="0.2">
      <c r="A16" s="415" t="s">
        <v>15</v>
      </c>
      <c r="B16" s="399">
        <v>133691</v>
      </c>
      <c r="C16" s="401">
        <v>98082</v>
      </c>
      <c r="D16" s="14">
        <f t="shared" si="0"/>
        <v>73.364699194410989</v>
      </c>
      <c r="E16" s="394">
        <v>95318</v>
      </c>
      <c r="F16" s="14">
        <f t="shared" si="1"/>
        <v>71.297245139912192</v>
      </c>
      <c r="G16" s="394">
        <v>121002</v>
      </c>
      <c r="H16" s="14">
        <f t="shared" si="2"/>
        <v>90.508710384393865</v>
      </c>
      <c r="I16" s="394">
        <v>94700</v>
      </c>
      <c r="J16" s="14">
        <f t="shared" si="3"/>
        <v>70.834985152328883</v>
      </c>
      <c r="K16" s="394">
        <v>96970</v>
      </c>
      <c r="L16" s="15">
        <f t="shared" si="4"/>
        <v>72.532930414164014</v>
      </c>
      <c r="M16" s="399">
        <v>131314</v>
      </c>
      <c r="N16" s="400">
        <v>93290</v>
      </c>
      <c r="O16" s="14">
        <f t="shared" si="5"/>
        <v>71.043453097156444</v>
      </c>
      <c r="P16" s="413" t="s">
        <v>93</v>
      </c>
    </row>
    <row r="17" spans="1:16" x14ac:dyDescent="0.2">
      <c r="A17" s="415" t="s">
        <v>62</v>
      </c>
      <c r="B17" s="399">
        <v>27992</v>
      </c>
      <c r="C17" s="400">
        <v>21682</v>
      </c>
      <c r="D17" s="14">
        <f t="shared" si="0"/>
        <v>77.457845098599591</v>
      </c>
      <c r="E17" s="394">
        <v>20915</v>
      </c>
      <c r="F17" s="14">
        <f t="shared" si="1"/>
        <v>74.717776507573603</v>
      </c>
      <c r="G17" s="394">
        <v>23287</v>
      </c>
      <c r="H17" s="14">
        <f t="shared" si="2"/>
        <v>83.191626178908265</v>
      </c>
      <c r="I17" s="394">
        <v>20534</v>
      </c>
      <c r="J17" s="14">
        <f t="shared" si="3"/>
        <v>73.356673335238639</v>
      </c>
      <c r="K17" s="394">
        <v>13200</v>
      </c>
      <c r="L17" s="15">
        <f t="shared" si="4"/>
        <v>47.156330380108599</v>
      </c>
      <c r="M17" s="399">
        <v>27769</v>
      </c>
      <c r="N17" s="400">
        <v>21600</v>
      </c>
      <c r="O17" s="14">
        <f t="shared" si="5"/>
        <v>77.784579927257013</v>
      </c>
      <c r="P17" s="413" t="s">
        <v>93</v>
      </c>
    </row>
    <row r="18" spans="1:16" x14ac:dyDescent="0.2">
      <c r="A18" s="415" t="s">
        <v>45</v>
      </c>
      <c r="B18" s="399">
        <v>20068</v>
      </c>
      <c r="C18" s="400">
        <v>18354</v>
      </c>
      <c r="D18" s="14">
        <f t="shared" si="0"/>
        <v>91.459039266493932</v>
      </c>
      <c r="E18" s="394">
        <v>14079</v>
      </c>
      <c r="F18" s="14">
        <f t="shared" si="1"/>
        <v>70.156468008770176</v>
      </c>
      <c r="G18" s="394">
        <v>20601</v>
      </c>
      <c r="H18" s="14">
        <f t="shared" si="2"/>
        <v>102.65596970300976</v>
      </c>
      <c r="I18" s="394">
        <v>19044</v>
      </c>
      <c r="J18" s="14">
        <f t="shared" si="3"/>
        <v>94.897349013354599</v>
      </c>
      <c r="K18" s="394">
        <v>11039</v>
      </c>
      <c r="L18" s="15">
        <f t="shared" si="4"/>
        <v>55.007972892166634</v>
      </c>
      <c r="M18" s="399">
        <v>20068</v>
      </c>
      <c r="N18" s="400">
        <v>16809</v>
      </c>
      <c r="O18" s="14">
        <f t="shared" si="5"/>
        <v>83.760215268088501</v>
      </c>
      <c r="P18" s="413" t="s">
        <v>93</v>
      </c>
    </row>
    <row r="19" spans="1:16" x14ac:dyDescent="0.2">
      <c r="A19" s="415" t="s">
        <v>17</v>
      </c>
      <c r="B19" s="399">
        <v>32380</v>
      </c>
      <c r="C19" s="400">
        <v>25843</v>
      </c>
      <c r="D19" s="14">
        <f t="shared" si="0"/>
        <v>79.811612106238414</v>
      </c>
      <c r="E19" s="394">
        <v>26018</v>
      </c>
      <c r="F19" s="14">
        <f t="shared" si="1"/>
        <v>80.352069178505246</v>
      </c>
      <c r="G19" s="394">
        <v>30694</v>
      </c>
      <c r="H19" s="14">
        <f t="shared" si="2"/>
        <v>94.793082149474984</v>
      </c>
      <c r="I19" s="394">
        <v>22740</v>
      </c>
      <c r="J19" s="14">
        <f t="shared" si="3"/>
        <v>70.228536133415687</v>
      </c>
      <c r="K19" s="394">
        <v>17063</v>
      </c>
      <c r="L19" s="15">
        <f t="shared" si="4"/>
        <v>52.696108709079681</v>
      </c>
      <c r="M19" s="399">
        <v>32084</v>
      </c>
      <c r="N19" s="400">
        <v>23502</v>
      </c>
      <c r="O19" s="14">
        <f t="shared" si="5"/>
        <v>73.251464904625365</v>
      </c>
      <c r="P19" s="413" t="s">
        <v>93</v>
      </c>
    </row>
    <row r="20" spans="1:16" x14ac:dyDescent="0.2">
      <c r="A20" s="415" t="s">
        <v>19</v>
      </c>
      <c r="B20" s="399">
        <v>22832</v>
      </c>
      <c r="C20" s="400">
        <v>17367</v>
      </c>
      <c r="D20" s="14">
        <f t="shared" si="0"/>
        <v>76.064295725297825</v>
      </c>
      <c r="E20" s="394">
        <v>17352</v>
      </c>
      <c r="F20" s="14">
        <f t="shared" si="1"/>
        <v>75.99859845830413</v>
      </c>
      <c r="G20" s="394">
        <v>17841</v>
      </c>
      <c r="H20" s="14">
        <f t="shared" si="2"/>
        <v>78.14032936229853</v>
      </c>
      <c r="I20" s="394">
        <v>17329</v>
      </c>
      <c r="J20" s="14">
        <f t="shared" si="3"/>
        <v>75.897862648913801</v>
      </c>
      <c r="K20" s="394">
        <v>16646</v>
      </c>
      <c r="L20" s="15">
        <f t="shared" si="4"/>
        <v>72.906447091800985</v>
      </c>
      <c r="M20" s="399">
        <v>22568</v>
      </c>
      <c r="N20" s="400">
        <v>17194</v>
      </c>
      <c r="O20" s="14">
        <f t="shared" si="5"/>
        <v>76.187522155264091</v>
      </c>
      <c r="P20" s="413" t="s">
        <v>93</v>
      </c>
    </row>
    <row r="21" spans="1:16" x14ac:dyDescent="0.2">
      <c r="A21" s="415" t="s">
        <v>63</v>
      </c>
      <c r="B21" s="399">
        <v>13076</v>
      </c>
      <c r="C21" s="401">
        <v>12408</v>
      </c>
      <c r="D21" s="14">
        <f t="shared" si="0"/>
        <v>94.891404099112876</v>
      </c>
      <c r="E21" s="394">
        <v>11440</v>
      </c>
      <c r="F21" s="14">
        <f t="shared" si="1"/>
        <v>87.48852860201896</v>
      </c>
      <c r="G21" s="394">
        <v>12911</v>
      </c>
      <c r="H21" s="14">
        <f t="shared" si="2"/>
        <v>98.738146222086272</v>
      </c>
      <c r="I21" s="394">
        <v>11006</v>
      </c>
      <c r="J21" s="14">
        <f t="shared" si="3"/>
        <v>84.169470786173136</v>
      </c>
      <c r="K21" s="394">
        <v>9382</v>
      </c>
      <c r="L21" s="15">
        <f t="shared" si="4"/>
        <v>71.74977057204039</v>
      </c>
      <c r="M21" s="409">
        <v>12762</v>
      </c>
      <c r="N21" s="400">
        <v>10923</v>
      </c>
      <c r="O21" s="14">
        <f t="shared" si="5"/>
        <v>85.590032910202169</v>
      </c>
      <c r="P21" s="413" t="s">
        <v>93</v>
      </c>
    </row>
    <row r="22" spans="1:16" x14ac:dyDescent="0.2">
      <c r="A22" s="415" t="s">
        <v>21</v>
      </c>
      <c r="B22" s="399">
        <v>7297</v>
      </c>
      <c r="C22" s="400">
        <v>6382</v>
      </c>
      <c r="D22" s="14">
        <f t="shared" si="0"/>
        <v>87.460600246676705</v>
      </c>
      <c r="E22" s="394">
        <v>6057</v>
      </c>
      <c r="F22" s="14">
        <f t="shared" si="1"/>
        <v>83.006715088392497</v>
      </c>
      <c r="G22" s="394">
        <v>6705</v>
      </c>
      <c r="H22" s="14">
        <f t="shared" si="2"/>
        <v>91.887076880909973</v>
      </c>
      <c r="I22" s="394">
        <v>5655</v>
      </c>
      <c r="J22" s="14">
        <f t="shared" si="3"/>
        <v>77.497601754145535</v>
      </c>
      <c r="K22" s="394">
        <v>5212</v>
      </c>
      <c r="L22" s="15">
        <f t="shared" si="4"/>
        <v>71.426613676853506</v>
      </c>
      <c r="M22" s="399">
        <v>7005</v>
      </c>
      <c r="N22" s="400">
        <v>5911</v>
      </c>
      <c r="O22" s="14">
        <f t="shared" si="5"/>
        <v>84.382583868665236</v>
      </c>
      <c r="P22" s="413" t="s">
        <v>93</v>
      </c>
    </row>
    <row r="23" spans="1:16" x14ac:dyDescent="0.2">
      <c r="A23" s="415" t="s">
        <v>18</v>
      </c>
      <c r="B23" s="399">
        <v>32130</v>
      </c>
      <c r="C23" s="400">
        <v>19831</v>
      </c>
      <c r="D23" s="14">
        <f t="shared" si="0"/>
        <v>61.721132897603482</v>
      </c>
      <c r="E23" s="394">
        <v>17834</v>
      </c>
      <c r="F23" s="14">
        <f t="shared" si="1"/>
        <v>55.505757858699035</v>
      </c>
      <c r="G23" s="394">
        <v>22324</v>
      </c>
      <c r="H23" s="14">
        <f t="shared" si="2"/>
        <v>69.480236539060073</v>
      </c>
      <c r="I23" s="394">
        <v>17917</v>
      </c>
      <c r="J23" s="14">
        <f t="shared" si="3"/>
        <v>55.764083411142238</v>
      </c>
      <c r="K23" s="394">
        <v>9903</v>
      </c>
      <c r="L23" s="15">
        <f t="shared" si="4"/>
        <v>30.821661998132587</v>
      </c>
      <c r="M23" s="399">
        <v>31901</v>
      </c>
      <c r="N23" s="400">
        <v>19906</v>
      </c>
      <c r="O23" s="14">
        <f t="shared" si="5"/>
        <v>62.399297827654308</v>
      </c>
      <c r="P23" s="413" t="s">
        <v>93</v>
      </c>
    </row>
    <row r="24" spans="1:16" x14ac:dyDescent="0.2">
      <c r="A24" s="415" t="s">
        <v>22</v>
      </c>
      <c r="B24" s="399">
        <v>26056</v>
      </c>
      <c r="C24" s="400">
        <v>23999</v>
      </c>
      <c r="D24" s="14">
        <f t="shared" si="0"/>
        <v>92.105465151980354</v>
      </c>
      <c r="E24" s="394">
        <v>23203</v>
      </c>
      <c r="F24" s="14">
        <f t="shared" si="1"/>
        <v>89.050506601166717</v>
      </c>
      <c r="G24" s="394">
        <v>25686</v>
      </c>
      <c r="H24" s="14">
        <f t="shared" si="2"/>
        <v>98.579981578139396</v>
      </c>
      <c r="I24" s="394">
        <v>19719</v>
      </c>
      <c r="J24" s="14">
        <f t="shared" si="3"/>
        <v>75.679306109917093</v>
      </c>
      <c r="K24" s="394">
        <v>21069</v>
      </c>
      <c r="L24" s="15">
        <f t="shared" si="4"/>
        <v>80.860454405894998</v>
      </c>
      <c r="M24" s="399">
        <v>25855</v>
      </c>
      <c r="N24" s="400">
        <v>20756</v>
      </c>
      <c r="O24" s="14">
        <f t="shared" si="5"/>
        <v>80.278476116805265</v>
      </c>
      <c r="P24" s="413" t="s">
        <v>93</v>
      </c>
    </row>
    <row r="25" spans="1:16" x14ac:dyDescent="0.2">
      <c r="A25" s="415" t="s">
        <v>24</v>
      </c>
      <c r="B25" s="399">
        <v>10656</v>
      </c>
      <c r="C25" s="400">
        <v>6787</v>
      </c>
      <c r="D25" s="14">
        <f t="shared" si="0"/>
        <v>63.691816816816818</v>
      </c>
      <c r="E25" s="394">
        <v>6442</v>
      </c>
      <c r="F25" s="14">
        <f t="shared" si="1"/>
        <v>60.45420420420421</v>
      </c>
      <c r="G25" s="394">
        <v>9692</v>
      </c>
      <c r="H25" s="14">
        <f t="shared" si="2"/>
        <v>90.953453453453463</v>
      </c>
      <c r="I25" s="394">
        <v>6688</v>
      </c>
      <c r="J25" s="14">
        <f t="shared" si="3"/>
        <v>62.762762762762762</v>
      </c>
      <c r="K25" s="394">
        <v>5854</v>
      </c>
      <c r="L25" s="15">
        <f t="shared" si="4"/>
        <v>54.936186186186184</v>
      </c>
      <c r="M25" s="409">
        <v>10612</v>
      </c>
      <c r="N25" s="400">
        <v>6948</v>
      </c>
      <c r="O25" s="14">
        <f t="shared" si="5"/>
        <v>65.473049378062569</v>
      </c>
      <c r="P25" s="413" t="s">
        <v>93</v>
      </c>
    </row>
    <row r="26" spans="1:16" x14ac:dyDescent="0.2">
      <c r="A26" s="415" t="s">
        <v>64</v>
      </c>
      <c r="B26" s="399">
        <v>31194</v>
      </c>
      <c r="C26" s="400">
        <v>31874</v>
      </c>
      <c r="D26" s="14">
        <f t="shared" si="0"/>
        <v>102.17990639225492</v>
      </c>
      <c r="E26" s="394">
        <v>28876</v>
      </c>
      <c r="F26" s="14">
        <f t="shared" si="1"/>
        <v>92.569083798166318</v>
      </c>
      <c r="G26" s="394">
        <v>31842</v>
      </c>
      <c r="H26" s="14">
        <f t="shared" si="2"/>
        <v>102.07732256203117</v>
      </c>
      <c r="I26" s="394">
        <v>31073</v>
      </c>
      <c r="J26" s="14">
        <f t="shared" si="3"/>
        <v>99.612104891966396</v>
      </c>
      <c r="K26" s="394">
        <v>22620</v>
      </c>
      <c r="L26" s="15">
        <f t="shared" si="4"/>
        <v>72.513944989421049</v>
      </c>
      <c r="M26" s="399">
        <v>31048</v>
      </c>
      <c r="N26" s="400">
        <v>26973</v>
      </c>
      <c r="O26" s="14">
        <f t="shared" si="5"/>
        <v>86.87516104096882</v>
      </c>
      <c r="P26" s="413" t="s">
        <v>93</v>
      </c>
    </row>
    <row r="27" spans="1:16" x14ac:dyDescent="0.2">
      <c r="A27" s="458" t="s">
        <v>122</v>
      </c>
      <c r="B27" s="399">
        <v>41054</v>
      </c>
      <c r="C27" s="400">
        <v>37114</v>
      </c>
      <c r="D27" s="14">
        <f t="shared" si="0"/>
        <v>90.402884006430554</v>
      </c>
      <c r="E27" s="394">
        <v>36931</v>
      </c>
      <c r="F27" s="14">
        <f t="shared" si="1"/>
        <v>89.957129634140401</v>
      </c>
      <c r="G27" s="394">
        <v>42084</v>
      </c>
      <c r="H27" s="14">
        <f t="shared" si="2"/>
        <v>102.50889072928338</v>
      </c>
      <c r="I27" s="394">
        <v>38267</v>
      </c>
      <c r="J27" s="14">
        <f t="shared" si="3"/>
        <v>93.211380133482734</v>
      </c>
      <c r="K27" s="394">
        <v>40559</v>
      </c>
      <c r="L27" s="15">
        <f t="shared" si="4"/>
        <v>98.794270960198759</v>
      </c>
      <c r="M27" s="399">
        <v>41676</v>
      </c>
      <c r="N27" s="400">
        <v>36496</v>
      </c>
      <c r="O27" s="14">
        <f t="shared" si="5"/>
        <v>87.570784144351663</v>
      </c>
      <c r="P27" s="413" t="s">
        <v>93</v>
      </c>
    </row>
    <row r="28" spans="1:16" x14ac:dyDescent="0.2">
      <c r="A28" s="415" t="s">
        <v>65</v>
      </c>
      <c r="B28" s="399">
        <v>1267</v>
      </c>
      <c r="C28" s="400">
        <v>668</v>
      </c>
      <c r="D28" s="14">
        <f t="shared" si="0"/>
        <v>52.722967640094708</v>
      </c>
      <c r="E28" s="394">
        <v>604</v>
      </c>
      <c r="F28" s="14">
        <f t="shared" si="1"/>
        <v>47.671665351223361</v>
      </c>
      <c r="G28" s="394">
        <v>980</v>
      </c>
      <c r="H28" s="14">
        <f t="shared" si="2"/>
        <v>77.348066298342545</v>
      </c>
      <c r="I28" s="394">
        <v>475</v>
      </c>
      <c r="J28" s="14">
        <f t="shared" si="3"/>
        <v>37.490134175217051</v>
      </c>
      <c r="K28" s="394">
        <v>253</v>
      </c>
      <c r="L28" s="15">
        <f t="shared" si="4"/>
        <v>19.968429360694554</v>
      </c>
      <c r="M28" s="399">
        <v>1263</v>
      </c>
      <c r="N28" s="400">
        <v>338</v>
      </c>
      <c r="O28" s="14">
        <f t="shared" si="5"/>
        <v>26.761678543151231</v>
      </c>
      <c r="P28" s="413" t="s">
        <v>93</v>
      </c>
    </row>
    <row r="29" spans="1:16" x14ac:dyDescent="0.2">
      <c r="A29" s="415" t="s">
        <v>26</v>
      </c>
      <c r="B29" s="399">
        <v>3426</v>
      </c>
      <c r="C29" s="400">
        <v>1611</v>
      </c>
      <c r="D29" s="14">
        <f t="shared" ref="D29:D47" si="6">(C29/B29)*100</f>
        <v>47.022767075306483</v>
      </c>
      <c r="E29" s="394">
        <v>1448</v>
      </c>
      <c r="F29" s="14">
        <f t="shared" ref="F29:F47" si="7">(E29/B29)*100</f>
        <v>42.265032107413894</v>
      </c>
      <c r="G29" s="394">
        <v>2327</v>
      </c>
      <c r="H29" s="14">
        <f t="shared" ref="H29:H47" si="8">(G29/B29)*100</f>
        <v>67.921774664331579</v>
      </c>
      <c r="I29" s="394">
        <v>1463</v>
      </c>
      <c r="J29" s="14">
        <f t="shared" ref="J29:J47" si="9">(I29/B29)*100</f>
        <v>42.702860478692351</v>
      </c>
      <c r="K29" s="394">
        <v>1227</v>
      </c>
      <c r="L29" s="15">
        <f t="shared" ref="L29:L47" si="10">(K29/B29)*100</f>
        <v>35.814360770577935</v>
      </c>
      <c r="M29" s="409">
        <v>3392</v>
      </c>
      <c r="N29" s="400">
        <v>1632</v>
      </c>
      <c r="O29" s="14">
        <f t="shared" ref="O29:O47" si="11">(N29/M29)*100</f>
        <v>48.113207547169814</v>
      </c>
      <c r="P29" s="413" t="s">
        <v>94</v>
      </c>
    </row>
    <row r="30" spans="1:16" x14ac:dyDescent="0.2">
      <c r="A30" s="415" t="s">
        <v>27</v>
      </c>
      <c r="B30" s="399">
        <v>23028</v>
      </c>
      <c r="C30" s="400">
        <v>23395</v>
      </c>
      <c r="D30" s="14">
        <f t="shared" si="6"/>
        <v>101.59371200277923</v>
      </c>
      <c r="E30" s="394">
        <v>23162</v>
      </c>
      <c r="F30" s="14">
        <f t="shared" si="7"/>
        <v>100.58190029529268</v>
      </c>
      <c r="G30" s="394">
        <v>24532</v>
      </c>
      <c r="H30" s="14">
        <f t="shared" si="8"/>
        <v>106.53117943373285</v>
      </c>
      <c r="I30" s="394">
        <v>19767</v>
      </c>
      <c r="J30" s="14">
        <f t="shared" si="9"/>
        <v>85.838978634705569</v>
      </c>
      <c r="K30" s="394">
        <v>16660</v>
      </c>
      <c r="L30" s="15">
        <f t="shared" si="10"/>
        <v>72.346708355046033</v>
      </c>
      <c r="M30" s="399">
        <v>22862</v>
      </c>
      <c r="N30" s="400">
        <v>21109</v>
      </c>
      <c r="O30" s="14">
        <f t="shared" si="11"/>
        <v>92.332254395940865</v>
      </c>
      <c r="P30" s="413" t="s">
        <v>93</v>
      </c>
    </row>
    <row r="31" spans="1:16" x14ac:dyDescent="0.2">
      <c r="A31" s="431" t="s">
        <v>124</v>
      </c>
      <c r="B31" s="399">
        <v>12632</v>
      </c>
      <c r="C31" s="400">
        <v>10184</v>
      </c>
      <c r="D31" s="14">
        <f t="shared" si="6"/>
        <v>80.620645978467394</v>
      </c>
      <c r="E31" s="394">
        <v>9639</v>
      </c>
      <c r="F31" s="14">
        <f t="shared" si="7"/>
        <v>76.306206459784676</v>
      </c>
      <c r="G31" s="394">
        <v>12368</v>
      </c>
      <c r="H31" s="14">
        <f t="shared" si="8"/>
        <v>97.910069664344519</v>
      </c>
      <c r="I31" s="394">
        <v>9347</v>
      </c>
      <c r="J31" s="14">
        <f t="shared" si="9"/>
        <v>73.994616846105131</v>
      </c>
      <c r="K31" s="394">
        <v>5661</v>
      </c>
      <c r="L31" s="15">
        <f t="shared" si="10"/>
        <v>44.814756174794177</v>
      </c>
      <c r="M31" s="399">
        <v>12583</v>
      </c>
      <c r="N31" s="400">
        <v>9641</v>
      </c>
      <c r="O31" s="14">
        <f t="shared" si="11"/>
        <v>76.619248192005088</v>
      </c>
      <c r="P31" s="413" t="s">
        <v>93</v>
      </c>
    </row>
    <row r="32" spans="1:16" x14ac:dyDescent="0.2">
      <c r="A32" s="415" t="s">
        <v>28</v>
      </c>
      <c r="B32" s="399">
        <v>18984</v>
      </c>
      <c r="C32" s="400">
        <v>16753</v>
      </c>
      <c r="D32" s="14">
        <f t="shared" si="6"/>
        <v>88.247998314369994</v>
      </c>
      <c r="E32" s="394">
        <v>16510</v>
      </c>
      <c r="F32" s="14">
        <f t="shared" si="7"/>
        <v>86.967973029919932</v>
      </c>
      <c r="G32" s="394">
        <v>17641</v>
      </c>
      <c r="H32" s="14">
        <f t="shared" si="8"/>
        <v>92.92562157606406</v>
      </c>
      <c r="I32" s="394">
        <v>16670</v>
      </c>
      <c r="J32" s="14">
        <f t="shared" si="9"/>
        <v>87.810788032026963</v>
      </c>
      <c r="K32" s="394">
        <v>12837</v>
      </c>
      <c r="L32" s="15">
        <f t="shared" si="10"/>
        <v>67.620101137800248</v>
      </c>
      <c r="M32" s="399">
        <v>19114</v>
      </c>
      <c r="N32" s="400">
        <v>14925</v>
      </c>
      <c r="O32" s="14">
        <f t="shared" si="11"/>
        <v>78.084126818039138</v>
      </c>
      <c r="P32" s="413" t="s">
        <v>93</v>
      </c>
    </row>
    <row r="33" spans="1:16" x14ac:dyDescent="0.2">
      <c r="A33" s="430" t="s">
        <v>127</v>
      </c>
      <c r="B33" s="399">
        <v>9787</v>
      </c>
      <c r="C33" s="400">
        <v>7876</v>
      </c>
      <c r="D33" s="14">
        <f t="shared" si="6"/>
        <v>80.474098293654848</v>
      </c>
      <c r="E33" s="394">
        <v>7584</v>
      </c>
      <c r="F33" s="14">
        <f t="shared" si="7"/>
        <v>77.490548687033822</v>
      </c>
      <c r="G33" s="394">
        <v>8403</v>
      </c>
      <c r="H33" s="14">
        <f t="shared" si="8"/>
        <v>85.858792275467451</v>
      </c>
      <c r="I33" s="394">
        <v>7490</v>
      </c>
      <c r="J33" s="14">
        <f t="shared" si="9"/>
        <v>76.53009093695718</v>
      </c>
      <c r="K33" s="394">
        <v>6510</v>
      </c>
      <c r="L33" s="15">
        <f t="shared" si="10"/>
        <v>66.516808010626335</v>
      </c>
      <c r="M33" s="399">
        <v>9731</v>
      </c>
      <c r="N33" s="400">
        <v>8345</v>
      </c>
      <c r="O33" s="14">
        <f t="shared" si="11"/>
        <v>85.756859521118074</v>
      </c>
      <c r="P33" s="413" t="s">
        <v>93</v>
      </c>
    </row>
    <row r="34" spans="1:16" x14ac:dyDescent="0.2">
      <c r="A34" s="415" t="s">
        <v>29</v>
      </c>
      <c r="B34" s="399">
        <v>17228</v>
      </c>
      <c r="C34" s="400">
        <v>14764</v>
      </c>
      <c r="D34" s="14">
        <f t="shared" si="6"/>
        <v>85.69770141629904</v>
      </c>
      <c r="E34" s="394">
        <v>12931</v>
      </c>
      <c r="F34" s="14">
        <f t="shared" si="7"/>
        <v>75.058045042953339</v>
      </c>
      <c r="G34" s="394">
        <v>15716</v>
      </c>
      <c r="H34" s="14">
        <f t="shared" si="8"/>
        <v>91.223589505456232</v>
      </c>
      <c r="I34" s="394">
        <v>13558</v>
      </c>
      <c r="J34" s="14">
        <f t="shared" si="9"/>
        <v>78.697469236127233</v>
      </c>
      <c r="K34" s="394">
        <v>11852</v>
      </c>
      <c r="L34" s="15">
        <f t="shared" si="10"/>
        <v>68.794984908288839</v>
      </c>
      <c r="M34" s="409">
        <v>16980</v>
      </c>
      <c r="N34" s="400">
        <v>12620</v>
      </c>
      <c r="O34" s="14">
        <f t="shared" si="11"/>
        <v>74.32273262661954</v>
      </c>
      <c r="P34" s="413" t="s">
        <v>93</v>
      </c>
    </row>
    <row r="35" spans="1:16" x14ac:dyDescent="0.2">
      <c r="A35" s="415" t="s">
        <v>30</v>
      </c>
      <c r="B35" s="399">
        <v>37024</v>
      </c>
      <c r="C35" s="400">
        <v>25533</v>
      </c>
      <c r="D35" s="14">
        <f t="shared" si="6"/>
        <v>68.963375108038022</v>
      </c>
      <c r="E35" s="394">
        <v>24495</v>
      </c>
      <c r="F35" s="14">
        <f t="shared" si="7"/>
        <v>66.159788245462408</v>
      </c>
      <c r="G35" s="394">
        <v>26691</v>
      </c>
      <c r="H35" s="14">
        <f t="shared" si="8"/>
        <v>72.091076058772686</v>
      </c>
      <c r="I35" s="394">
        <v>23537</v>
      </c>
      <c r="J35" s="14">
        <f t="shared" si="9"/>
        <v>63.572277441659466</v>
      </c>
      <c r="K35" s="394">
        <v>22431</v>
      </c>
      <c r="L35" s="15">
        <f t="shared" si="10"/>
        <v>60.585025929127056</v>
      </c>
      <c r="M35" s="399">
        <v>34030</v>
      </c>
      <c r="N35" s="400">
        <v>26810</v>
      </c>
      <c r="O35" s="14">
        <f t="shared" si="11"/>
        <v>78.783426388480748</v>
      </c>
      <c r="P35" s="413" t="s">
        <v>93</v>
      </c>
    </row>
    <row r="36" spans="1:16" x14ac:dyDescent="0.2">
      <c r="A36" s="431" t="s">
        <v>125</v>
      </c>
      <c r="B36" s="399">
        <v>30313</v>
      </c>
      <c r="C36" s="400">
        <v>22045</v>
      </c>
      <c r="D36" s="14">
        <f t="shared" si="6"/>
        <v>72.724573615280576</v>
      </c>
      <c r="E36" s="394">
        <v>21878</v>
      </c>
      <c r="F36" s="14">
        <f t="shared" si="7"/>
        <v>72.173654867548578</v>
      </c>
      <c r="G36" s="394">
        <v>27402</v>
      </c>
      <c r="H36" s="14">
        <f t="shared" si="8"/>
        <v>90.396859433246462</v>
      </c>
      <c r="I36" s="394">
        <v>19995</v>
      </c>
      <c r="J36" s="14">
        <f t="shared" si="9"/>
        <v>65.961798568271035</v>
      </c>
      <c r="K36" s="394">
        <v>16936</v>
      </c>
      <c r="L36" s="15">
        <f t="shared" si="10"/>
        <v>55.870418632269981</v>
      </c>
      <c r="M36" s="399">
        <v>28697</v>
      </c>
      <c r="N36" s="400">
        <v>22188</v>
      </c>
      <c r="O36" s="14">
        <f t="shared" si="11"/>
        <v>77.318186570024736</v>
      </c>
      <c r="P36" s="413" t="s">
        <v>93</v>
      </c>
    </row>
    <row r="37" spans="1:16" x14ac:dyDescent="0.2">
      <c r="A37" s="415" t="s">
        <v>31</v>
      </c>
      <c r="B37" s="399">
        <v>10552</v>
      </c>
      <c r="C37" s="400">
        <v>6171</v>
      </c>
      <c r="D37" s="14">
        <f t="shared" si="6"/>
        <v>58.481804397270665</v>
      </c>
      <c r="E37" s="394">
        <v>5816</v>
      </c>
      <c r="F37" s="14">
        <f t="shared" si="7"/>
        <v>55.117513267626997</v>
      </c>
      <c r="G37" s="394">
        <v>6832</v>
      </c>
      <c r="H37" s="14">
        <f t="shared" si="8"/>
        <v>64.74601971190296</v>
      </c>
      <c r="I37" s="394">
        <v>5667</v>
      </c>
      <c r="J37" s="14">
        <f t="shared" si="9"/>
        <v>53.705458680818808</v>
      </c>
      <c r="K37" s="394">
        <v>4025</v>
      </c>
      <c r="L37" s="15">
        <f t="shared" si="10"/>
        <v>38.144427596664137</v>
      </c>
      <c r="M37" s="399">
        <v>10393</v>
      </c>
      <c r="N37" s="400">
        <v>5372</v>
      </c>
      <c r="O37" s="14">
        <f t="shared" si="11"/>
        <v>51.68863658231502</v>
      </c>
      <c r="P37" s="413" t="s">
        <v>93</v>
      </c>
    </row>
    <row r="38" spans="1:16" x14ac:dyDescent="0.2">
      <c r="A38" s="415" t="s">
        <v>32</v>
      </c>
      <c r="B38" s="399">
        <v>11182</v>
      </c>
      <c r="C38" s="400">
        <v>8973</v>
      </c>
      <c r="D38" s="14">
        <f t="shared" si="6"/>
        <v>80.245036666070462</v>
      </c>
      <c r="E38" s="394">
        <v>8700</v>
      </c>
      <c r="F38" s="14">
        <f t="shared" si="7"/>
        <v>77.803612949382938</v>
      </c>
      <c r="G38" s="394">
        <v>9863</v>
      </c>
      <c r="H38" s="14">
        <f t="shared" si="8"/>
        <v>88.204256841352162</v>
      </c>
      <c r="I38" s="394">
        <v>8969</v>
      </c>
      <c r="J38" s="14">
        <f t="shared" si="9"/>
        <v>80.209264890001791</v>
      </c>
      <c r="K38" s="394">
        <v>8389</v>
      </c>
      <c r="L38" s="15">
        <f t="shared" si="10"/>
        <v>75.022357360042918</v>
      </c>
      <c r="M38" s="399">
        <v>11126</v>
      </c>
      <c r="N38" s="400">
        <v>9682</v>
      </c>
      <c r="O38" s="14">
        <f t="shared" si="11"/>
        <v>87.021391335610289</v>
      </c>
      <c r="P38" s="413" t="s">
        <v>93</v>
      </c>
    </row>
    <row r="39" spans="1:16" x14ac:dyDescent="0.2">
      <c r="A39" s="415" t="s">
        <v>33</v>
      </c>
      <c r="B39" s="399">
        <v>14750</v>
      </c>
      <c r="C39" s="400">
        <v>13688</v>
      </c>
      <c r="D39" s="14">
        <f t="shared" si="6"/>
        <v>92.800000000000011</v>
      </c>
      <c r="E39" s="394">
        <v>13020</v>
      </c>
      <c r="F39" s="14">
        <f t="shared" si="7"/>
        <v>88.271186440677965</v>
      </c>
      <c r="G39" s="394">
        <v>14905</v>
      </c>
      <c r="H39" s="14">
        <f t="shared" si="8"/>
        <v>101.05084745762711</v>
      </c>
      <c r="I39" s="394">
        <v>13136</v>
      </c>
      <c r="J39" s="14">
        <f t="shared" si="9"/>
        <v>89.057627118644064</v>
      </c>
      <c r="K39" s="394">
        <v>10615</v>
      </c>
      <c r="L39" s="15">
        <f t="shared" si="10"/>
        <v>71.966101694915253</v>
      </c>
      <c r="M39" s="409">
        <v>17904</v>
      </c>
      <c r="N39" s="400">
        <v>13287</v>
      </c>
      <c r="O39" s="14">
        <f t="shared" si="11"/>
        <v>74.212466487935657</v>
      </c>
      <c r="P39" s="413" t="s">
        <v>93</v>
      </c>
    </row>
    <row r="40" spans="1:16" x14ac:dyDescent="0.2">
      <c r="A40" s="415" t="s">
        <v>34</v>
      </c>
      <c r="B40" s="399">
        <v>1239</v>
      </c>
      <c r="C40" s="400">
        <v>1196</v>
      </c>
      <c r="D40" s="14">
        <f t="shared" si="6"/>
        <v>96.52945924132365</v>
      </c>
      <c r="E40" s="394">
        <v>1065</v>
      </c>
      <c r="F40" s="14">
        <f t="shared" si="7"/>
        <v>85.956416464891035</v>
      </c>
      <c r="G40" s="394">
        <v>1008</v>
      </c>
      <c r="H40" s="14">
        <f t="shared" si="8"/>
        <v>81.355932203389841</v>
      </c>
      <c r="I40" s="394">
        <v>1121</v>
      </c>
      <c r="J40" s="14">
        <f t="shared" si="9"/>
        <v>90.476190476190482</v>
      </c>
      <c r="K40" s="394">
        <v>1202</v>
      </c>
      <c r="L40" s="15">
        <f t="shared" si="10"/>
        <v>97.013720742534304</v>
      </c>
      <c r="M40" s="399">
        <v>1135</v>
      </c>
      <c r="N40" s="400">
        <v>1125</v>
      </c>
      <c r="O40" s="14">
        <f t="shared" si="11"/>
        <v>99.118942731277542</v>
      </c>
      <c r="P40" s="413" t="s">
        <v>93</v>
      </c>
    </row>
    <row r="41" spans="1:16" x14ac:dyDescent="0.2">
      <c r="A41" s="415" t="s">
        <v>35</v>
      </c>
      <c r="B41" s="399">
        <v>46060</v>
      </c>
      <c r="C41" s="400">
        <v>31298</v>
      </c>
      <c r="D41" s="14">
        <f t="shared" si="6"/>
        <v>67.950499348675635</v>
      </c>
      <c r="E41" s="394">
        <v>31694</v>
      </c>
      <c r="F41" s="14">
        <f t="shared" si="7"/>
        <v>68.810247503256619</v>
      </c>
      <c r="G41" s="394">
        <v>37611</v>
      </c>
      <c r="H41" s="14">
        <f t="shared" si="8"/>
        <v>81.656534954407292</v>
      </c>
      <c r="I41" s="394">
        <v>29119</v>
      </c>
      <c r="J41" s="14">
        <f t="shared" si="9"/>
        <v>63.21971341728181</v>
      </c>
      <c r="K41" s="394">
        <v>23833</v>
      </c>
      <c r="L41" s="15">
        <f t="shared" si="10"/>
        <v>51.743378202344772</v>
      </c>
      <c r="M41" s="399">
        <v>45422</v>
      </c>
      <c r="N41" s="400">
        <v>30787</v>
      </c>
      <c r="O41" s="14">
        <f t="shared" si="11"/>
        <v>67.779930430188017</v>
      </c>
      <c r="P41" s="413" t="s">
        <v>93</v>
      </c>
    </row>
    <row r="42" spans="1:16" x14ac:dyDescent="0.2">
      <c r="A42" s="415" t="s">
        <v>36</v>
      </c>
      <c r="B42" s="399">
        <v>20127</v>
      </c>
      <c r="C42" s="400">
        <v>16509</v>
      </c>
      <c r="D42" s="14">
        <f t="shared" si="6"/>
        <v>82.024146668654055</v>
      </c>
      <c r="E42" s="394">
        <v>16034</v>
      </c>
      <c r="F42" s="14">
        <f t="shared" si="7"/>
        <v>79.664132756993084</v>
      </c>
      <c r="G42" s="394">
        <v>17573</v>
      </c>
      <c r="H42" s="14">
        <f t="shared" si="8"/>
        <v>87.310577830774577</v>
      </c>
      <c r="I42" s="394">
        <v>13502</v>
      </c>
      <c r="J42" s="14">
        <f t="shared" si="9"/>
        <v>67.084016495255128</v>
      </c>
      <c r="K42" s="394">
        <v>11507</v>
      </c>
      <c r="L42" s="15">
        <f t="shared" si="10"/>
        <v>57.171958066279124</v>
      </c>
      <c r="M42" s="399">
        <v>20044</v>
      </c>
      <c r="N42" s="400">
        <v>14277</v>
      </c>
      <c r="O42" s="14">
        <f t="shared" si="11"/>
        <v>71.228297744961083</v>
      </c>
      <c r="P42" s="413" t="s">
        <v>93</v>
      </c>
    </row>
    <row r="43" spans="1:16" x14ac:dyDescent="0.2">
      <c r="A43" s="415" t="s">
        <v>37</v>
      </c>
      <c r="B43" s="399">
        <v>27176</v>
      </c>
      <c r="C43" s="400">
        <v>28979</v>
      </c>
      <c r="D43" s="14">
        <f t="shared" si="6"/>
        <v>106.63453046806006</v>
      </c>
      <c r="E43" s="394">
        <v>27883</v>
      </c>
      <c r="F43" s="14">
        <f t="shared" si="7"/>
        <v>102.60156020017664</v>
      </c>
      <c r="G43" s="394">
        <v>29930</v>
      </c>
      <c r="H43" s="14">
        <f t="shared" si="8"/>
        <v>110.13394171327641</v>
      </c>
      <c r="I43" s="394">
        <v>26731</v>
      </c>
      <c r="J43" s="14">
        <f t="shared" si="9"/>
        <v>98.362525758021775</v>
      </c>
      <c r="K43" s="394">
        <v>20687</v>
      </c>
      <c r="L43" s="15">
        <f t="shared" si="10"/>
        <v>76.122313806299672</v>
      </c>
      <c r="M43" s="409">
        <v>27036</v>
      </c>
      <c r="N43" s="400">
        <v>28607</v>
      </c>
      <c r="O43" s="14">
        <f t="shared" si="11"/>
        <v>105.8107708240864</v>
      </c>
      <c r="P43" s="413" t="s">
        <v>93</v>
      </c>
    </row>
    <row r="44" spans="1:16" x14ac:dyDescent="0.2">
      <c r="A44" s="415" t="s">
        <v>38</v>
      </c>
      <c r="B44" s="399">
        <v>82414</v>
      </c>
      <c r="C44" s="400">
        <v>70494</v>
      </c>
      <c r="D44" s="14">
        <f t="shared" si="6"/>
        <v>85.5364379838377</v>
      </c>
      <c r="E44" s="394">
        <v>71012</v>
      </c>
      <c r="F44" s="14">
        <f t="shared" si="7"/>
        <v>86.164971970781664</v>
      </c>
      <c r="G44" s="394">
        <v>57787</v>
      </c>
      <c r="H44" s="14">
        <f t="shared" si="8"/>
        <v>70.117941126507631</v>
      </c>
      <c r="I44" s="394">
        <v>75086</v>
      </c>
      <c r="J44" s="14">
        <f t="shared" si="9"/>
        <v>91.1083068410707</v>
      </c>
      <c r="K44" s="394">
        <v>49331</v>
      </c>
      <c r="L44" s="15">
        <f t="shared" si="10"/>
        <v>59.857548474773701</v>
      </c>
      <c r="M44" s="399">
        <v>82929</v>
      </c>
      <c r="N44" s="400">
        <v>68421</v>
      </c>
      <c r="O44" s="14">
        <f t="shared" si="11"/>
        <v>82.505516767355203</v>
      </c>
      <c r="P44" s="413" t="s">
        <v>93</v>
      </c>
    </row>
    <row r="45" spans="1:16" x14ac:dyDescent="0.2">
      <c r="A45" s="415" t="s">
        <v>39</v>
      </c>
      <c r="B45" s="399">
        <v>944</v>
      </c>
      <c r="C45" s="400">
        <v>398</v>
      </c>
      <c r="D45" s="14">
        <f t="shared" si="6"/>
        <v>42.16101694915254</v>
      </c>
      <c r="E45" s="394">
        <v>426</v>
      </c>
      <c r="F45" s="14">
        <f t="shared" si="7"/>
        <v>45.127118644067799</v>
      </c>
      <c r="G45" s="394">
        <v>796</v>
      </c>
      <c r="H45" s="14">
        <f t="shared" si="8"/>
        <v>84.322033898305079</v>
      </c>
      <c r="I45" s="394">
        <v>336</v>
      </c>
      <c r="J45" s="14">
        <f t="shared" si="9"/>
        <v>35.593220338983052</v>
      </c>
      <c r="K45" s="394">
        <v>394</v>
      </c>
      <c r="L45" s="15">
        <f t="shared" si="10"/>
        <v>41.737288135593218</v>
      </c>
      <c r="M45" s="399">
        <v>944</v>
      </c>
      <c r="N45" s="400">
        <v>608</v>
      </c>
      <c r="O45" s="14">
        <f t="shared" si="11"/>
        <v>64.406779661016941</v>
      </c>
      <c r="P45" s="413" t="s">
        <v>93</v>
      </c>
    </row>
    <row r="46" spans="1:16" ht="13.5" thickBot="1" x14ac:dyDescent="0.25">
      <c r="A46" s="456" t="s">
        <v>40</v>
      </c>
      <c r="B46" s="423">
        <v>1337</v>
      </c>
      <c r="C46" s="435">
        <v>1074</v>
      </c>
      <c r="D46" s="28">
        <f t="shared" si="6"/>
        <v>80.329094988780852</v>
      </c>
      <c r="E46" s="438">
        <v>1060</v>
      </c>
      <c r="F46" s="28">
        <f t="shared" si="7"/>
        <v>79.281974569932686</v>
      </c>
      <c r="G46" s="438">
        <v>1381</v>
      </c>
      <c r="H46" s="28">
        <f t="shared" si="8"/>
        <v>103.29094988780854</v>
      </c>
      <c r="I46" s="438">
        <v>1182</v>
      </c>
      <c r="J46" s="28">
        <f t="shared" si="9"/>
        <v>88.40688107703815</v>
      </c>
      <c r="K46" s="438">
        <v>1015</v>
      </c>
      <c r="L46" s="74">
        <f t="shared" si="10"/>
        <v>75.916230366492144</v>
      </c>
      <c r="M46" s="423">
        <v>1341</v>
      </c>
      <c r="N46" s="435">
        <v>1350</v>
      </c>
      <c r="O46" s="28">
        <f t="shared" si="11"/>
        <v>100.67114093959732</v>
      </c>
      <c r="P46" s="434" t="s">
        <v>93</v>
      </c>
    </row>
    <row r="47" spans="1:16" ht="13.5" thickBot="1" x14ac:dyDescent="0.25">
      <c r="A47" s="457" t="s">
        <v>41</v>
      </c>
      <c r="B47" s="436">
        <f>SUM(B11:B46)</f>
        <v>925386</v>
      </c>
      <c r="C47" s="437">
        <f>SUM(C11:C46)</f>
        <v>761954</v>
      </c>
      <c r="D47" s="78">
        <f t="shared" si="6"/>
        <v>82.339045544237749</v>
      </c>
      <c r="E47" s="437">
        <f>SUM(E11:E46)</f>
        <v>726545</v>
      </c>
      <c r="F47" s="78">
        <f t="shared" si="7"/>
        <v>78.512642291973293</v>
      </c>
      <c r="G47" s="437">
        <f>SUM(G11:G46)</f>
        <v>841325</v>
      </c>
      <c r="H47" s="78">
        <f t="shared" si="8"/>
        <v>90.916115004981705</v>
      </c>
      <c r="I47" s="437">
        <f>SUM(I11:I46)</f>
        <v>723986</v>
      </c>
      <c r="J47" s="78">
        <f t="shared" si="9"/>
        <v>78.23610903990334</v>
      </c>
      <c r="K47" s="437">
        <f>SUM(K11:K46)</f>
        <v>596921</v>
      </c>
      <c r="L47" s="78">
        <f t="shared" si="10"/>
        <v>64.505082203534528</v>
      </c>
      <c r="M47" s="436">
        <f>SUM(M11:M46)</f>
        <v>916725</v>
      </c>
      <c r="N47" s="437">
        <f>SUM(N11:N46)</f>
        <v>728722</v>
      </c>
      <c r="O47" s="78">
        <f t="shared" si="11"/>
        <v>79.491886879925815</v>
      </c>
      <c r="P47" s="433"/>
    </row>
    <row r="48" spans="1:16" ht="13.5" thickBot="1" x14ac:dyDescent="0.25">
      <c r="A48" s="36" t="s">
        <v>95</v>
      </c>
      <c r="B48" s="82"/>
      <c r="C48" s="82"/>
      <c r="D48" s="83"/>
      <c r="E48" s="82"/>
      <c r="F48" s="83"/>
      <c r="G48" s="82"/>
      <c r="H48" s="83"/>
      <c r="I48" s="82"/>
      <c r="J48" s="83"/>
      <c r="K48" s="82"/>
      <c r="L48" s="83"/>
      <c r="M48" s="82"/>
      <c r="N48" s="82"/>
      <c r="O48" s="83"/>
      <c r="P48" s="84"/>
    </row>
  </sheetData>
  <mergeCells count="7">
    <mergeCell ref="A8:P8"/>
    <mergeCell ref="K9:L9"/>
    <mergeCell ref="N9:O9"/>
    <mergeCell ref="C9:D9"/>
    <mergeCell ref="E9:F9"/>
    <mergeCell ref="G9:H9"/>
    <mergeCell ref="I9:J9"/>
  </mergeCells>
  <phoneticPr fontId="11" type="noConversion"/>
  <printOptions horizontalCentered="1" verticalCentered="1"/>
  <pageMargins left="0.31496062992125984" right="0.27559055118110237" top="0.98425196850393704" bottom="0.19685039370078741" header="0.59055118110236227" footer="0"/>
  <pageSetup scale="90" orientation="landscape" horizontalDpi="4294967295" verticalDpi="4294967295" r:id="rId1"/>
  <headerFooter alignWithMargins="0">
    <oddHeader>&amp;L
      &amp;G&amp;C&amp;"Arial,Negrita"MINISTERIO DE LA PROTECCION SOCIAL
República de Colombia
Dirección General de Salud Pública
Programa Ampliado de Inmunizaciones - PAI</oddHeader>
    <oddFooter>&amp;L        &amp;P&amp;C&amp;F&amp;R&amp;D           .</oddFooter>
  </headerFooter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7"/>
  </sheetPr>
  <dimension ref="A5:P48"/>
  <sheetViews>
    <sheetView zoomScale="90" zoomScaleNormal="90" workbookViewId="0">
      <pane xSplit="2" ySplit="10" topLeftCell="C11" activePane="bottomRight" state="frozen"/>
      <selection activeCell="A4" sqref="A4"/>
      <selection pane="topRight" activeCell="A4" sqref="A4"/>
      <selection pane="bottomLeft" activeCell="A4" sqref="A4"/>
      <selection pane="bottomRight" activeCell="C11" sqref="C11"/>
    </sheetView>
  </sheetViews>
  <sheetFormatPr baseColWidth="10" defaultRowHeight="12.75" x14ac:dyDescent="0.2"/>
  <cols>
    <col min="1" max="1" width="22.5703125" style="17" customWidth="1"/>
    <col min="2" max="2" width="12.42578125" style="17" bestFit="1" customWidth="1"/>
    <col min="3" max="3" width="11.28515625" style="17" bestFit="1" customWidth="1"/>
    <col min="4" max="4" width="6" style="17" customWidth="1"/>
    <col min="5" max="5" width="11.28515625" style="17" bestFit="1" customWidth="1"/>
    <col min="6" max="6" width="6.5703125" style="17" customWidth="1"/>
    <col min="7" max="7" width="11.28515625" style="17" bestFit="1" customWidth="1"/>
    <col min="8" max="8" width="8.140625" style="17" customWidth="1"/>
    <col min="9" max="9" width="11.28515625" style="17" bestFit="1" customWidth="1"/>
    <col min="10" max="10" width="6.5703125" style="17" customWidth="1"/>
    <col min="11" max="11" width="11.28515625" style="17" bestFit="1" customWidth="1"/>
    <col min="12" max="12" width="4.5703125" style="17" bestFit="1" customWidth="1"/>
    <col min="13" max="13" width="11.85546875" style="17" bestFit="1" customWidth="1"/>
    <col min="14" max="14" width="11.28515625" style="17" bestFit="1" customWidth="1"/>
    <col min="15" max="15" width="6.5703125" style="17" customWidth="1"/>
    <col min="16" max="16" width="8" style="17" bestFit="1" customWidth="1"/>
    <col min="17" max="16384" width="11.42578125" style="17"/>
  </cols>
  <sheetData>
    <row r="5" spans="1:16" x14ac:dyDescent="0.2">
      <c r="A5" s="702" t="s">
        <v>305</v>
      </c>
      <c r="B5" s="753" t="s">
        <v>322</v>
      </c>
    </row>
    <row r="6" spans="1:16" x14ac:dyDescent="0.2">
      <c r="A6" s="702" t="s">
        <v>306</v>
      </c>
      <c r="B6" s="776">
        <v>37266</v>
      </c>
    </row>
    <row r="7" spans="1:16" x14ac:dyDescent="0.2">
      <c r="A7" s="702" t="s">
        <v>307</v>
      </c>
      <c r="B7" s="766" t="s">
        <v>312</v>
      </c>
    </row>
    <row r="8" spans="1:16" ht="24.75" customHeight="1" thickBot="1" x14ac:dyDescent="0.25">
      <c r="A8" s="85"/>
      <c r="B8" s="26"/>
      <c r="C8" s="26" t="s">
        <v>96</v>
      </c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</row>
    <row r="9" spans="1:16" ht="16.5" customHeight="1" thickBot="1" x14ac:dyDescent="0.25">
      <c r="A9" s="31" t="s">
        <v>79</v>
      </c>
      <c r="B9" s="9" t="s">
        <v>53</v>
      </c>
      <c r="C9" s="1864" t="s">
        <v>3</v>
      </c>
      <c r="D9" s="1865"/>
      <c r="E9" s="1864" t="s">
        <v>6</v>
      </c>
      <c r="F9" s="1865"/>
      <c r="G9" s="1864" t="s">
        <v>7</v>
      </c>
      <c r="H9" s="1866"/>
      <c r="I9" s="1867" t="s">
        <v>54</v>
      </c>
      <c r="J9" s="1865"/>
      <c r="K9" s="1864" t="s">
        <v>89</v>
      </c>
      <c r="L9" s="1865"/>
      <c r="M9" s="27" t="s">
        <v>81</v>
      </c>
      <c r="N9" s="1864" t="s">
        <v>90</v>
      </c>
      <c r="O9" s="1865"/>
      <c r="P9" s="30" t="s">
        <v>82</v>
      </c>
    </row>
    <row r="10" spans="1:16" ht="16.5" customHeight="1" thickBot="1" x14ac:dyDescent="0.25">
      <c r="A10" s="432"/>
      <c r="B10" s="33" t="s">
        <v>74</v>
      </c>
      <c r="C10" s="33" t="s">
        <v>83</v>
      </c>
      <c r="D10" s="33" t="s">
        <v>5</v>
      </c>
      <c r="E10" s="33" t="s">
        <v>83</v>
      </c>
      <c r="F10" s="33" t="s">
        <v>5</v>
      </c>
      <c r="G10" s="33" t="s">
        <v>91</v>
      </c>
      <c r="H10" s="33" t="s">
        <v>5</v>
      </c>
      <c r="I10" s="33" t="s">
        <v>83</v>
      </c>
      <c r="J10" s="33" t="s">
        <v>5</v>
      </c>
      <c r="K10" s="34" t="s">
        <v>83</v>
      </c>
      <c r="L10" s="33" t="s">
        <v>5</v>
      </c>
      <c r="M10" s="35" t="s">
        <v>92</v>
      </c>
      <c r="N10" s="34" t="s">
        <v>91</v>
      </c>
      <c r="O10" s="33" t="s">
        <v>5</v>
      </c>
      <c r="P10" s="33" t="s">
        <v>85</v>
      </c>
    </row>
    <row r="11" spans="1:16" ht="12.95" customHeight="1" x14ac:dyDescent="0.2">
      <c r="A11" s="410" t="s">
        <v>12</v>
      </c>
      <c r="B11" s="446">
        <v>2375</v>
      </c>
      <c r="C11" s="393">
        <v>1014</v>
      </c>
      <c r="D11" s="11">
        <f t="shared" ref="D11:D47" si="0">(C11/B11)*100</f>
        <v>42.694736842105264</v>
      </c>
      <c r="E11" s="393">
        <v>1013</v>
      </c>
      <c r="F11" s="11">
        <f t="shared" ref="F11:F47" si="1">(E11/B11)*100</f>
        <v>42.652631578947371</v>
      </c>
      <c r="G11" s="393">
        <v>1625</v>
      </c>
      <c r="H11" s="11">
        <f t="shared" ref="H11:H47" si="2">(G11/B11)*100</f>
        <v>68.421052631578945</v>
      </c>
      <c r="I11" s="393">
        <v>1115</v>
      </c>
      <c r="J11" s="11">
        <f t="shared" ref="J11:J47" si="3">(I11/B11)*100</f>
        <v>46.94736842105263</v>
      </c>
      <c r="K11" s="393">
        <v>832</v>
      </c>
      <c r="L11" s="11">
        <f t="shared" ref="L11:L47" si="4">(K11/B11)*100</f>
        <v>35.031578947368416</v>
      </c>
      <c r="M11" s="439">
        <v>2371</v>
      </c>
      <c r="N11" s="393">
        <v>1158</v>
      </c>
      <c r="O11" s="11">
        <f t="shared" ref="O11:O47" si="5">(N11/M11)*100</f>
        <v>48.840151834668916</v>
      </c>
      <c r="P11" s="411" t="s">
        <v>97</v>
      </c>
    </row>
    <row r="12" spans="1:16" ht="12.95" customHeight="1" x14ac:dyDescent="0.2">
      <c r="A12" s="412" t="s">
        <v>11</v>
      </c>
      <c r="B12" s="440">
        <v>119607</v>
      </c>
      <c r="C12" s="394">
        <v>92659</v>
      </c>
      <c r="D12" s="14">
        <f t="shared" si="0"/>
        <v>77.469546096800357</v>
      </c>
      <c r="E12" s="394">
        <v>93214</v>
      </c>
      <c r="F12" s="14">
        <f t="shared" si="1"/>
        <v>77.933565761201265</v>
      </c>
      <c r="G12" s="394">
        <v>103122</v>
      </c>
      <c r="H12" s="14">
        <f t="shared" si="2"/>
        <v>86.217361860091799</v>
      </c>
      <c r="I12" s="394">
        <v>97155</v>
      </c>
      <c r="J12" s="14">
        <f t="shared" si="3"/>
        <v>81.228523414181439</v>
      </c>
      <c r="K12" s="394">
        <v>54470</v>
      </c>
      <c r="L12" s="14">
        <f t="shared" si="4"/>
        <v>45.540812828680593</v>
      </c>
      <c r="M12" s="440">
        <v>117987</v>
      </c>
      <c r="N12" s="394">
        <v>108910</v>
      </c>
      <c r="O12" s="14">
        <f t="shared" si="5"/>
        <v>92.306779560460058</v>
      </c>
      <c r="P12" s="413" t="s">
        <v>97</v>
      </c>
    </row>
    <row r="13" spans="1:16" ht="12.95" customHeight="1" x14ac:dyDescent="0.2">
      <c r="A13" s="412" t="s">
        <v>13</v>
      </c>
      <c r="B13" s="440">
        <v>6954</v>
      </c>
      <c r="C13" s="445">
        <v>4910</v>
      </c>
      <c r="D13" s="14">
        <f t="shared" si="0"/>
        <v>70.606844981305727</v>
      </c>
      <c r="E13" s="394">
        <v>4887</v>
      </c>
      <c r="F13" s="14">
        <f t="shared" si="1"/>
        <v>70.276100086281275</v>
      </c>
      <c r="G13" s="394">
        <v>4669</v>
      </c>
      <c r="H13" s="14">
        <f t="shared" si="2"/>
        <v>67.141213689962612</v>
      </c>
      <c r="I13" s="394">
        <v>4941</v>
      </c>
      <c r="J13" s="14">
        <f t="shared" si="3"/>
        <v>71.05263157894737</v>
      </c>
      <c r="K13" s="394">
        <v>1434</v>
      </c>
      <c r="L13" s="14">
        <f t="shared" si="4"/>
        <v>20.621225194132872</v>
      </c>
      <c r="M13" s="440">
        <v>6932</v>
      </c>
      <c r="N13" s="394">
        <v>3903</v>
      </c>
      <c r="O13" s="14">
        <f t="shared" si="5"/>
        <v>56.304096941719564</v>
      </c>
      <c r="P13" s="413" t="s">
        <v>97</v>
      </c>
    </row>
    <row r="14" spans="1:16" ht="12.95" customHeight="1" x14ac:dyDescent="0.2">
      <c r="A14" s="412" t="s">
        <v>14</v>
      </c>
      <c r="B14" s="440">
        <v>20282</v>
      </c>
      <c r="C14" s="394">
        <v>18848</v>
      </c>
      <c r="D14" s="14">
        <f t="shared" si="0"/>
        <v>92.929691351937677</v>
      </c>
      <c r="E14" s="394">
        <v>18541</v>
      </c>
      <c r="F14" s="14">
        <f t="shared" si="1"/>
        <v>91.416033921703971</v>
      </c>
      <c r="G14" s="394">
        <v>18016</v>
      </c>
      <c r="H14" s="14">
        <f t="shared" si="2"/>
        <v>88.827531801597473</v>
      </c>
      <c r="I14" s="394">
        <v>15838</v>
      </c>
      <c r="J14" s="14">
        <f t="shared" si="3"/>
        <v>78.088945863327083</v>
      </c>
      <c r="K14" s="394">
        <v>12186</v>
      </c>
      <c r="L14" s="14">
        <f t="shared" si="4"/>
        <v>60.082832067843405</v>
      </c>
      <c r="M14" s="440">
        <v>20044</v>
      </c>
      <c r="N14" s="394">
        <v>19044</v>
      </c>
      <c r="O14" s="14">
        <f t="shared" si="5"/>
        <v>95.010975853123128</v>
      </c>
      <c r="P14" s="413" t="s">
        <v>97</v>
      </c>
    </row>
    <row r="15" spans="1:16" ht="12.95" customHeight="1" x14ac:dyDescent="0.2">
      <c r="A15" s="451" t="s">
        <v>115</v>
      </c>
      <c r="B15" s="440">
        <v>29135</v>
      </c>
      <c r="C15" s="394">
        <v>28594</v>
      </c>
      <c r="D15" s="14">
        <f t="shared" si="0"/>
        <v>98.143126823408267</v>
      </c>
      <c r="E15" s="394">
        <v>24944</v>
      </c>
      <c r="F15" s="14">
        <f t="shared" si="1"/>
        <v>85.615239402780162</v>
      </c>
      <c r="G15" s="394">
        <v>32567</v>
      </c>
      <c r="H15" s="14">
        <f t="shared" si="2"/>
        <v>111.77964647331389</v>
      </c>
      <c r="I15" s="394">
        <v>24567</v>
      </c>
      <c r="J15" s="14">
        <f t="shared" si="3"/>
        <v>84.321263085635834</v>
      </c>
      <c r="K15" s="394">
        <v>18530</v>
      </c>
      <c r="L15" s="14">
        <f t="shared" si="4"/>
        <v>63.600480521709279</v>
      </c>
      <c r="M15" s="440">
        <v>28819</v>
      </c>
      <c r="N15" s="394">
        <v>27384</v>
      </c>
      <c r="O15" s="14">
        <f t="shared" si="5"/>
        <v>95.020646101530232</v>
      </c>
      <c r="P15" s="413" t="s">
        <v>97</v>
      </c>
    </row>
    <row r="16" spans="1:16" ht="12.95" customHeight="1" x14ac:dyDescent="0.2">
      <c r="A16" s="412" t="s">
        <v>15</v>
      </c>
      <c r="B16" s="440">
        <v>134757</v>
      </c>
      <c r="C16" s="445">
        <v>108215</v>
      </c>
      <c r="D16" s="14">
        <f t="shared" si="0"/>
        <v>80.303806110257725</v>
      </c>
      <c r="E16" s="394">
        <v>106413</v>
      </c>
      <c r="F16" s="14">
        <f t="shared" si="1"/>
        <v>78.966584296177572</v>
      </c>
      <c r="G16" s="394">
        <v>121942</v>
      </c>
      <c r="H16" s="14">
        <f t="shared" si="2"/>
        <v>90.49028992928011</v>
      </c>
      <c r="I16" s="394">
        <v>109793</v>
      </c>
      <c r="J16" s="14">
        <f t="shared" si="3"/>
        <v>81.474802793175854</v>
      </c>
      <c r="K16" s="394">
        <v>74711</v>
      </c>
      <c r="L16" s="14">
        <f t="shared" si="4"/>
        <v>55.441275777881671</v>
      </c>
      <c r="M16" s="440">
        <v>132363</v>
      </c>
      <c r="N16" s="394">
        <v>118381</v>
      </c>
      <c r="O16" s="14">
        <f t="shared" si="5"/>
        <v>89.436625038719271</v>
      </c>
      <c r="P16" s="413" t="s">
        <v>97</v>
      </c>
    </row>
    <row r="17" spans="1:16" ht="12.95" customHeight="1" x14ac:dyDescent="0.2">
      <c r="A17" s="412" t="s">
        <v>62</v>
      </c>
      <c r="B17" s="440">
        <v>28081</v>
      </c>
      <c r="C17" s="394">
        <v>19664</v>
      </c>
      <c r="D17" s="14">
        <f t="shared" si="0"/>
        <v>70.02599622520566</v>
      </c>
      <c r="E17" s="394">
        <v>19537</v>
      </c>
      <c r="F17" s="14">
        <f t="shared" si="1"/>
        <v>69.573733129162065</v>
      </c>
      <c r="G17" s="394">
        <v>18955</v>
      </c>
      <c r="H17" s="14">
        <f t="shared" si="2"/>
        <v>67.501157366190668</v>
      </c>
      <c r="I17" s="394">
        <v>19502</v>
      </c>
      <c r="J17" s="14">
        <f t="shared" si="3"/>
        <v>69.449093693244549</v>
      </c>
      <c r="K17" s="394">
        <v>13177</v>
      </c>
      <c r="L17" s="14">
        <f t="shared" si="4"/>
        <v>46.924967059577646</v>
      </c>
      <c r="M17" s="440">
        <v>27858</v>
      </c>
      <c r="N17" s="394">
        <v>20395</v>
      </c>
      <c r="O17" s="14">
        <f t="shared" si="5"/>
        <v>73.210567879962667</v>
      </c>
      <c r="P17" s="413" t="s">
        <v>97</v>
      </c>
    </row>
    <row r="18" spans="1:16" ht="12.95" customHeight="1" x14ac:dyDescent="0.2">
      <c r="A18" s="412" t="s">
        <v>45</v>
      </c>
      <c r="B18" s="440">
        <v>23319</v>
      </c>
      <c r="C18" s="394">
        <v>23406</v>
      </c>
      <c r="D18" s="14">
        <f t="shared" si="0"/>
        <v>100.37308632445645</v>
      </c>
      <c r="E18" s="394">
        <v>18676</v>
      </c>
      <c r="F18" s="14">
        <f t="shared" si="1"/>
        <v>80.089197649984982</v>
      </c>
      <c r="G18" s="394">
        <v>22320</v>
      </c>
      <c r="H18" s="14">
        <f t="shared" si="2"/>
        <v>95.715939791586251</v>
      </c>
      <c r="I18" s="394">
        <v>18861</v>
      </c>
      <c r="J18" s="14">
        <f t="shared" si="3"/>
        <v>80.882542133024572</v>
      </c>
      <c r="K18" s="394">
        <v>14644</v>
      </c>
      <c r="L18" s="14">
        <f t="shared" si="4"/>
        <v>62.798576268279085</v>
      </c>
      <c r="M18" s="440">
        <v>23133</v>
      </c>
      <c r="N18" s="394">
        <v>21939</v>
      </c>
      <c r="O18" s="14">
        <f t="shared" si="5"/>
        <v>94.838542342108681</v>
      </c>
      <c r="P18" s="413" t="s">
        <v>97</v>
      </c>
    </row>
    <row r="19" spans="1:16" ht="12.95" customHeight="1" x14ac:dyDescent="0.2">
      <c r="A19" s="412" t="s">
        <v>17</v>
      </c>
      <c r="B19" s="440">
        <v>32138</v>
      </c>
      <c r="C19" s="394">
        <v>24467</v>
      </c>
      <c r="D19" s="14">
        <f t="shared" si="0"/>
        <v>76.131059804592695</v>
      </c>
      <c r="E19" s="394">
        <v>23388</v>
      </c>
      <c r="F19" s="14">
        <f t="shared" si="1"/>
        <v>72.773663575829232</v>
      </c>
      <c r="G19" s="394">
        <v>29891</v>
      </c>
      <c r="H19" s="14">
        <f t="shared" si="2"/>
        <v>93.008276806272946</v>
      </c>
      <c r="I19" s="394">
        <v>23567</v>
      </c>
      <c r="J19" s="14">
        <f t="shared" si="3"/>
        <v>73.330636629535135</v>
      </c>
      <c r="K19" s="394">
        <v>12796</v>
      </c>
      <c r="L19" s="14">
        <f t="shared" si="4"/>
        <v>39.815794386707324</v>
      </c>
      <c r="M19" s="440">
        <v>31853</v>
      </c>
      <c r="N19" s="394">
        <v>24663</v>
      </c>
      <c r="O19" s="14">
        <f t="shared" si="5"/>
        <v>77.427557843845165</v>
      </c>
      <c r="P19" s="413" t="s">
        <v>97</v>
      </c>
    </row>
    <row r="20" spans="1:16" ht="12.95" customHeight="1" x14ac:dyDescent="0.2">
      <c r="A20" s="412" t="s">
        <v>19</v>
      </c>
      <c r="B20" s="440">
        <v>22699</v>
      </c>
      <c r="C20" s="394">
        <v>17701</v>
      </c>
      <c r="D20" s="14">
        <f t="shared" si="0"/>
        <v>77.981408872637559</v>
      </c>
      <c r="E20" s="394">
        <v>17715</v>
      </c>
      <c r="F20" s="14">
        <f t="shared" si="1"/>
        <v>78.043085598484524</v>
      </c>
      <c r="G20" s="394">
        <v>17961</v>
      </c>
      <c r="H20" s="14">
        <f t="shared" si="2"/>
        <v>79.126833781223837</v>
      </c>
      <c r="I20" s="394">
        <v>18047</v>
      </c>
      <c r="J20" s="14">
        <f t="shared" si="3"/>
        <v>79.505705097140847</v>
      </c>
      <c r="K20" s="394">
        <v>16434</v>
      </c>
      <c r="L20" s="14">
        <f t="shared" si="4"/>
        <v>72.399665183488253</v>
      </c>
      <c r="M20" s="440">
        <v>22438</v>
      </c>
      <c r="N20" s="394">
        <v>19290</v>
      </c>
      <c r="O20" s="14">
        <f t="shared" si="5"/>
        <v>85.970229075675192</v>
      </c>
      <c r="P20" s="413" t="s">
        <v>97</v>
      </c>
    </row>
    <row r="21" spans="1:16" ht="12.95" customHeight="1" x14ac:dyDescent="0.2">
      <c r="A21" s="412" t="s">
        <v>63</v>
      </c>
      <c r="B21" s="440">
        <v>11025</v>
      </c>
      <c r="C21" s="445">
        <v>13836</v>
      </c>
      <c r="D21" s="14">
        <f t="shared" si="0"/>
        <v>125.4965986394558</v>
      </c>
      <c r="E21" s="394">
        <v>13248</v>
      </c>
      <c r="F21" s="14">
        <f t="shared" si="1"/>
        <v>120.16326530612244</v>
      </c>
      <c r="G21" s="394">
        <v>15745</v>
      </c>
      <c r="H21" s="14">
        <f t="shared" si="2"/>
        <v>142.81179138321994</v>
      </c>
      <c r="I21" s="394">
        <v>13757</v>
      </c>
      <c r="J21" s="14">
        <f t="shared" si="3"/>
        <v>124.78004535147393</v>
      </c>
      <c r="K21" s="394">
        <v>10324</v>
      </c>
      <c r="L21" s="14">
        <f t="shared" si="4"/>
        <v>93.641723356009066</v>
      </c>
      <c r="M21" s="441">
        <v>11510</v>
      </c>
      <c r="N21" s="394">
        <v>13497</v>
      </c>
      <c r="O21" s="14">
        <f t="shared" si="5"/>
        <v>117.26324934839269</v>
      </c>
      <c r="P21" s="413" t="s">
        <v>97</v>
      </c>
    </row>
    <row r="22" spans="1:16" ht="12.95" customHeight="1" x14ac:dyDescent="0.2">
      <c r="A22" s="412" t="s">
        <v>21</v>
      </c>
      <c r="B22" s="440">
        <v>7961</v>
      </c>
      <c r="C22" s="394">
        <v>6360</v>
      </c>
      <c r="D22" s="14">
        <f t="shared" si="0"/>
        <v>79.88946112297451</v>
      </c>
      <c r="E22" s="394">
        <v>6549</v>
      </c>
      <c r="F22" s="14">
        <f t="shared" si="1"/>
        <v>82.263534731817614</v>
      </c>
      <c r="G22" s="394">
        <v>5916</v>
      </c>
      <c r="H22" s="14">
        <f t="shared" si="2"/>
        <v>74.312272327597043</v>
      </c>
      <c r="I22" s="394">
        <v>6215</v>
      </c>
      <c r="J22" s="14">
        <f t="shared" si="3"/>
        <v>78.068081899258885</v>
      </c>
      <c r="K22" s="394">
        <v>5266</v>
      </c>
      <c r="L22" s="14">
        <f t="shared" si="4"/>
        <v>66.14746891094083</v>
      </c>
      <c r="M22" s="440">
        <v>7931</v>
      </c>
      <c r="N22" s="394">
        <v>6122</v>
      </c>
      <c r="O22" s="14">
        <f t="shared" si="5"/>
        <v>77.190770394653882</v>
      </c>
      <c r="P22" s="413" t="s">
        <v>97</v>
      </c>
    </row>
    <row r="23" spans="1:16" ht="12.95" customHeight="1" x14ac:dyDescent="0.2">
      <c r="A23" s="412" t="s">
        <v>18</v>
      </c>
      <c r="B23" s="440">
        <v>28509</v>
      </c>
      <c r="C23" s="394">
        <v>20983</v>
      </c>
      <c r="D23" s="14">
        <f t="shared" si="0"/>
        <v>73.60131888175664</v>
      </c>
      <c r="E23" s="394">
        <v>20257</v>
      </c>
      <c r="F23" s="14">
        <f t="shared" si="1"/>
        <v>71.054754638885967</v>
      </c>
      <c r="G23" s="394">
        <v>21551</v>
      </c>
      <c r="H23" s="14">
        <f t="shared" si="2"/>
        <v>75.593672173699531</v>
      </c>
      <c r="I23" s="394">
        <v>18284</v>
      </c>
      <c r="J23" s="14">
        <f t="shared" si="3"/>
        <v>64.13413308078151</v>
      </c>
      <c r="K23" s="394">
        <v>6419</v>
      </c>
      <c r="L23" s="14">
        <f t="shared" si="4"/>
        <v>22.515696797502542</v>
      </c>
      <c r="M23" s="440">
        <v>27363</v>
      </c>
      <c r="N23" s="394">
        <v>22660</v>
      </c>
      <c r="O23" s="14">
        <f t="shared" si="5"/>
        <v>82.812557102656868</v>
      </c>
      <c r="P23" s="413" t="s">
        <v>97</v>
      </c>
    </row>
    <row r="24" spans="1:16" ht="12.95" customHeight="1" x14ac:dyDescent="0.2">
      <c r="A24" s="412" t="s">
        <v>22</v>
      </c>
      <c r="B24" s="440">
        <v>26446</v>
      </c>
      <c r="C24" s="394">
        <v>23040</v>
      </c>
      <c r="D24" s="14">
        <f t="shared" si="0"/>
        <v>87.120925659835137</v>
      </c>
      <c r="E24" s="394">
        <v>22126</v>
      </c>
      <c r="F24" s="14">
        <f t="shared" si="1"/>
        <v>83.664826438780921</v>
      </c>
      <c r="G24" s="394">
        <v>23721</v>
      </c>
      <c r="H24" s="14">
        <f t="shared" si="2"/>
        <v>89.695984269832863</v>
      </c>
      <c r="I24" s="394">
        <v>23009</v>
      </c>
      <c r="J24" s="14">
        <f t="shared" si="3"/>
        <v>87.003705664372688</v>
      </c>
      <c r="K24" s="394">
        <v>17562</v>
      </c>
      <c r="L24" s="14">
        <f t="shared" si="4"/>
        <v>66.407018074567034</v>
      </c>
      <c r="M24" s="440">
        <v>21937</v>
      </c>
      <c r="N24" s="394">
        <v>22395</v>
      </c>
      <c r="O24" s="14">
        <f t="shared" si="5"/>
        <v>102.08779687286321</v>
      </c>
      <c r="P24" s="413" t="s">
        <v>97</v>
      </c>
    </row>
    <row r="25" spans="1:16" ht="12.95" customHeight="1" x14ac:dyDescent="0.2">
      <c r="A25" s="412" t="s">
        <v>24</v>
      </c>
      <c r="B25" s="440">
        <v>10949</v>
      </c>
      <c r="C25" s="394">
        <v>6967</v>
      </c>
      <c r="D25" s="14">
        <f t="shared" si="0"/>
        <v>63.631381861357205</v>
      </c>
      <c r="E25" s="394">
        <v>6783</v>
      </c>
      <c r="F25" s="14">
        <f t="shared" si="1"/>
        <v>61.950863092519867</v>
      </c>
      <c r="G25" s="394">
        <v>9571</v>
      </c>
      <c r="H25" s="14">
        <f t="shared" si="2"/>
        <v>87.414375742076899</v>
      </c>
      <c r="I25" s="394">
        <v>7157</v>
      </c>
      <c r="J25" s="14">
        <f t="shared" si="3"/>
        <v>65.36670015526532</v>
      </c>
      <c r="K25" s="394">
        <v>5817</v>
      </c>
      <c r="L25" s="14">
        <f t="shared" si="4"/>
        <v>53.128139556123841</v>
      </c>
      <c r="M25" s="441">
        <v>9804</v>
      </c>
      <c r="N25" s="394">
        <v>7704</v>
      </c>
      <c r="O25" s="14">
        <f t="shared" si="5"/>
        <v>78.58017135862913</v>
      </c>
      <c r="P25" s="413" t="s">
        <v>97</v>
      </c>
    </row>
    <row r="26" spans="1:16" ht="12.95" customHeight="1" x14ac:dyDescent="0.2">
      <c r="A26" s="412" t="s">
        <v>64</v>
      </c>
      <c r="B26" s="440">
        <v>30857</v>
      </c>
      <c r="C26" s="394">
        <v>30131</v>
      </c>
      <c r="D26" s="14">
        <f t="shared" si="0"/>
        <v>97.647211329682079</v>
      </c>
      <c r="E26" s="394">
        <v>28271</v>
      </c>
      <c r="F26" s="14">
        <f t="shared" si="1"/>
        <v>91.619405645396498</v>
      </c>
      <c r="G26" s="394">
        <v>26116</v>
      </c>
      <c r="H26" s="14">
        <f t="shared" si="2"/>
        <v>84.635577016560262</v>
      </c>
      <c r="I26" s="394">
        <v>29708</v>
      </c>
      <c r="J26" s="14">
        <f t="shared" si="3"/>
        <v>96.27637164986875</v>
      </c>
      <c r="K26" s="394">
        <v>19216</v>
      </c>
      <c r="L26" s="14">
        <f t="shared" si="4"/>
        <v>62.274362381307327</v>
      </c>
      <c r="M26" s="440">
        <v>30712</v>
      </c>
      <c r="N26" s="394">
        <v>27393</v>
      </c>
      <c r="O26" s="14">
        <f t="shared" si="5"/>
        <v>89.193149257619169</v>
      </c>
      <c r="P26" s="413" t="s">
        <v>97</v>
      </c>
    </row>
    <row r="27" spans="1:16" ht="12.95" customHeight="1" x14ac:dyDescent="0.2">
      <c r="A27" s="452" t="s">
        <v>122</v>
      </c>
      <c r="B27" s="440">
        <v>41152</v>
      </c>
      <c r="C27" s="394">
        <v>37296</v>
      </c>
      <c r="D27" s="14">
        <f t="shared" si="0"/>
        <v>90.629860031104201</v>
      </c>
      <c r="E27" s="394">
        <v>35914</v>
      </c>
      <c r="F27" s="14">
        <f t="shared" si="1"/>
        <v>87.271578538102645</v>
      </c>
      <c r="G27" s="394">
        <v>36855</v>
      </c>
      <c r="H27" s="14">
        <f t="shared" si="2"/>
        <v>89.558223172628303</v>
      </c>
      <c r="I27" s="394">
        <v>37107</v>
      </c>
      <c r="J27" s="14">
        <f t="shared" si="3"/>
        <v>90.170587091757398</v>
      </c>
      <c r="K27" s="394">
        <v>38169</v>
      </c>
      <c r="L27" s="14">
        <f t="shared" si="4"/>
        <v>92.751263608087086</v>
      </c>
      <c r="M27" s="440">
        <v>42162</v>
      </c>
      <c r="N27" s="394">
        <v>39703</v>
      </c>
      <c r="O27" s="14">
        <f t="shared" si="5"/>
        <v>94.167733978464014</v>
      </c>
      <c r="P27" s="413" t="s">
        <v>97</v>
      </c>
    </row>
    <row r="28" spans="1:16" ht="12.95" customHeight="1" x14ac:dyDescent="0.2">
      <c r="A28" s="412" t="s">
        <v>65</v>
      </c>
      <c r="B28" s="440">
        <v>1267</v>
      </c>
      <c r="C28" s="394">
        <v>710</v>
      </c>
      <c r="D28" s="14">
        <f t="shared" si="0"/>
        <v>56.037884767166531</v>
      </c>
      <c r="E28" s="394">
        <v>453</v>
      </c>
      <c r="F28" s="14">
        <f t="shared" si="1"/>
        <v>35.753749013417526</v>
      </c>
      <c r="G28" s="394">
        <v>593</v>
      </c>
      <c r="H28" s="14">
        <f t="shared" si="2"/>
        <v>46.803472770323602</v>
      </c>
      <c r="I28" s="394">
        <v>414</v>
      </c>
      <c r="J28" s="14">
        <f t="shared" si="3"/>
        <v>32.675611681136537</v>
      </c>
      <c r="K28" s="394">
        <v>281</v>
      </c>
      <c r="L28" s="14">
        <f t="shared" si="4"/>
        <v>22.178374112075769</v>
      </c>
      <c r="M28" s="440">
        <v>1265</v>
      </c>
      <c r="N28" s="394">
        <v>1239</v>
      </c>
      <c r="O28" s="14">
        <f t="shared" si="5"/>
        <v>97.944664031620547</v>
      </c>
      <c r="P28" s="413" t="s">
        <v>97</v>
      </c>
    </row>
    <row r="29" spans="1:16" ht="12.95" customHeight="1" x14ac:dyDescent="0.2">
      <c r="A29" s="412" t="s">
        <v>26</v>
      </c>
      <c r="B29" s="440">
        <v>3466</v>
      </c>
      <c r="C29" s="394">
        <v>2856</v>
      </c>
      <c r="D29" s="14">
        <f t="shared" si="0"/>
        <v>82.400461627236012</v>
      </c>
      <c r="E29" s="394">
        <v>2505</v>
      </c>
      <c r="F29" s="14">
        <f t="shared" si="1"/>
        <v>72.273514137334104</v>
      </c>
      <c r="G29" s="394">
        <v>2451</v>
      </c>
      <c r="H29" s="14">
        <f t="shared" si="2"/>
        <v>70.715522215810736</v>
      </c>
      <c r="I29" s="394">
        <v>2355</v>
      </c>
      <c r="J29" s="14">
        <f t="shared" si="3"/>
        <v>67.94575879976918</v>
      </c>
      <c r="K29" s="394">
        <v>1828</v>
      </c>
      <c r="L29" s="14">
        <f t="shared" si="4"/>
        <v>52.740911713791114</v>
      </c>
      <c r="M29" s="441">
        <v>3431</v>
      </c>
      <c r="N29" s="394">
        <v>2947</v>
      </c>
      <c r="O29" s="14">
        <f t="shared" si="5"/>
        <v>85.893325561060919</v>
      </c>
      <c r="P29" s="413" t="s">
        <v>97</v>
      </c>
    </row>
    <row r="30" spans="1:16" ht="12.95" customHeight="1" x14ac:dyDescent="0.2">
      <c r="A30" s="412" t="s">
        <v>27</v>
      </c>
      <c r="B30" s="440">
        <v>27165</v>
      </c>
      <c r="C30" s="394">
        <v>22962</v>
      </c>
      <c r="D30" s="14">
        <f t="shared" si="0"/>
        <v>84.527885146328003</v>
      </c>
      <c r="E30" s="394">
        <v>22475</v>
      </c>
      <c r="F30" s="14">
        <f t="shared" si="1"/>
        <v>82.735137124976987</v>
      </c>
      <c r="G30" s="394">
        <v>21770</v>
      </c>
      <c r="H30" s="14">
        <f t="shared" si="2"/>
        <v>80.139885882569487</v>
      </c>
      <c r="I30" s="394">
        <v>21727</v>
      </c>
      <c r="J30" s="14">
        <f t="shared" si="3"/>
        <v>79.981593962819801</v>
      </c>
      <c r="K30" s="394">
        <v>11416</v>
      </c>
      <c r="L30" s="14">
        <f t="shared" si="4"/>
        <v>42.024664089821464</v>
      </c>
      <c r="M30" s="440">
        <v>24428</v>
      </c>
      <c r="N30" s="394">
        <v>23560</v>
      </c>
      <c r="O30" s="14">
        <f t="shared" si="5"/>
        <v>96.44670050761421</v>
      </c>
      <c r="P30" s="413" t="s">
        <v>97</v>
      </c>
    </row>
    <row r="31" spans="1:16" ht="12.95" customHeight="1" x14ac:dyDescent="0.2">
      <c r="A31" s="431" t="s">
        <v>124</v>
      </c>
      <c r="B31" s="440">
        <v>12759</v>
      </c>
      <c r="C31" s="394">
        <v>9686</v>
      </c>
      <c r="D31" s="14">
        <f t="shared" si="0"/>
        <v>75.915040363664872</v>
      </c>
      <c r="E31" s="394">
        <v>9418</v>
      </c>
      <c r="F31" s="14">
        <f t="shared" si="1"/>
        <v>73.814562269770363</v>
      </c>
      <c r="G31" s="394">
        <v>10386</v>
      </c>
      <c r="H31" s="14">
        <f t="shared" si="2"/>
        <v>81.401363743240069</v>
      </c>
      <c r="I31" s="394">
        <v>10015</v>
      </c>
      <c r="J31" s="14">
        <f t="shared" si="3"/>
        <v>78.493612352065213</v>
      </c>
      <c r="K31" s="394">
        <v>6906</v>
      </c>
      <c r="L31" s="14">
        <f t="shared" si="4"/>
        <v>54.126498941923352</v>
      </c>
      <c r="M31" s="440">
        <v>12684</v>
      </c>
      <c r="N31" s="394">
        <v>11700</v>
      </c>
      <c r="O31" s="14">
        <f t="shared" si="5"/>
        <v>92.242194891201507</v>
      </c>
      <c r="P31" s="413" t="s">
        <v>97</v>
      </c>
    </row>
    <row r="32" spans="1:16" ht="12.95" customHeight="1" x14ac:dyDescent="0.2">
      <c r="A32" s="412" t="s">
        <v>28</v>
      </c>
      <c r="B32" s="440">
        <v>22613</v>
      </c>
      <c r="C32" s="394">
        <v>17395</v>
      </c>
      <c r="D32" s="14">
        <f t="shared" si="0"/>
        <v>76.924777782691365</v>
      </c>
      <c r="E32" s="394">
        <v>17204</v>
      </c>
      <c r="F32" s="14">
        <f t="shared" si="1"/>
        <v>76.080130898155929</v>
      </c>
      <c r="G32" s="394">
        <v>17278</v>
      </c>
      <c r="H32" s="14">
        <f t="shared" si="2"/>
        <v>76.40737628797595</v>
      </c>
      <c r="I32" s="394">
        <v>17456</v>
      </c>
      <c r="J32" s="14">
        <f t="shared" si="3"/>
        <v>77.194534117543</v>
      </c>
      <c r="K32" s="394">
        <v>13388</v>
      </c>
      <c r="L32" s="14">
        <f t="shared" si="4"/>
        <v>59.20488214743731</v>
      </c>
      <c r="M32" s="440">
        <v>22483</v>
      </c>
      <c r="N32" s="394">
        <v>18611</v>
      </c>
      <c r="O32" s="14">
        <f t="shared" si="5"/>
        <v>82.778099008139478</v>
      </c>
      <c r="P32" s="413" t="s">
        <v>97</v>
      </c>
    </row>
    <row r="33" spans="1:16" ht="12.95" customHeight="1" x14ac:dyDescent="0.2">
      <c r="A33" s="453" t="s">
        <v>127</v>
      </c>
      <c r="B33" s="440">
        <v>9897</v>
      </c>
      <c r="C33" s="394">
        <v>7518</v>
      </c>
      <c r="D33" s="14">
        <f t="shared" si="0"/>
        <v>75.962412852379515</v>
      </c>
      <c r="E33" s="394">
        <v>6576</v>
      </c>
      <c r="F33" s="14">
        <f t="shared" si="1"/>
        <v>66.444377083964838</v>
      </c>
      <c r="G33" s="394">
        <v>9139</v>
      </c>
      <c r="H33" s="14">
        <f t="shared" si="2"/>
        <v>92.341113468727897</v>
      </c>
      <c r="I33" s="394">
        <v>7081</v>
      </c>
      <c r="J33" s="14">
        <f t="shared" si="3"/>
        <v>71.54693341416592</v>
      </c>
      <c r="K33" s="394">
        <v>4502</v>
      </c>
      <c r="L33" s="14">
        <f t="shared" si="4"/>
        <v>45.488531878346969</v>
      </c>
      <c r="M33" s="440">
        <v>9841</v>
      </c>
      <c r="N33" s="394">
        <v>8572</v>
      </c>
      <c r="O33" s="14">
        <f t="shared" si="5"/>
        <v>87.10496900721472</v>
      </c>
      <c r="P33" s="413" t="s">
        <v>97</v>
      </c>
    </row>
    <row r="34" spans="1:16" ht="12.95" customHeight="1" x14ac:dyDescent="0.2">
      <c r="A34" s="412" t="s">
        <v>29</v>
      </c>
      <c r="B34" s="440">
        <v>17581</v>
      </c>
      <c r="C34" s="394">
        <v>12293</v>
      </c>
      <c r="D34" s="14">
        <f t="shared" si="0"/>
        <v>69.922074967294236</v>
      </c>
      <c r="E34" s="394">
        <v>11488</v>
      </c>
      <c r="F34" s="14">
        <f t="shared" si="1"/>
        <v>65.343268301006773</v>
      </c>
      <c r="G34" s="394">
        <v>12951</v>
      </c>
      <c r="H34" s="14">
        <f t="shared" si="2"/>
        <v>73.66475172060747</v>
      </c>
      <c r="I34" s="394">
        <v>11006</v>
      </c>
      <c r="J34" s="14">
        <f t="shared" si="3"/>
        <v>62.601672259825946</v>
      </c>
      <c r="K34" s="394">
        <v>4967</v>
      </c>
      <c r="L34" s="14">
        <f t="shared" si="4"/>
        <v>28.252090324782436</v>
      </c>
      <c r="M34" s="441">
        <v>17586</v>
      </c>
      <c r="N34" s="394">
        <v>12117</v>
      </c>
      <c r="O34" s="14">
        <f t="shared" si="5"/>
        <v>68.901398839986356</v>
      </c>
      <c r="P34" s="413" t="s">
        <v>97</v>
      </c>
    </row>
    <row r="35" spans="1:16" ht="12.95" customHeight="1" x14ac:dyDescent="0.2">
      <c r="A35" s="412" t="s">
        <v>30</v>
      </c>
      <c r="B35" s="440">
        <v>34775</v>
      </c>
      <c r="C35" s="394">
        <v>22301</v>
      </c>
      <c r="D35" s="14">
        <f t="shared" si="0"/>
        <v>64.129403306973401</v>
      </c>
      <c r="E35" s="394">
        <v>21660</v>
      </c>
      <c r="F35" s="14">
        <f t="shared" si="1"/>
        <v>62.286125089863411</v>
      </c>
      <c r="G35" s="394">
        <v>22691</v>
      </c>
      <c r="H35" s="14">
        <f t="shared" si="2"/>
        <v>65.250898634076208</v>
      </c>
      <c r="I35" s="394">
        <v>21369</v>
      </c>
      <c r="J35" s="14">
        <f t="shared" si="3"/>
        <v>61.44931703810208</v>
      </c>
      <c r="K35" s="394">
        <v>17391</v>
      </c>
      <c r="L35" s="14">
        <f t="shared" si="4"/>
        <v>50.010064701653491</v>
      </c>
      <c r="M35" s="440">
        <v>40425</v>
      </c>
      <c r="N35" s="394">
        <v>23628</v>
      </c>
      <c r="O35" s="14">
        <f t="shared" si="5"/>
        <v>58.448979591836739</v>
      </c>
      <c r="P35" s="413" t="s">
        <v>97</v>
      </c>
    </row>
    <row r="36" spans="1:16" ht="12.95" customHeight="1" x14ac:dyDescent="0.2">
      <c r="A36" s="447" t="s">
        <v>125</v>
      </c>
      <c r="B36" s="440">
        <v>34963</v>
      </c>
      <c r="C36" s="394">
        <v>25546</v>
      </c>
      <c r="D36" s="14">
        <f t="shared" si="0"/>
        <v>73.065812430283444</v>
      </c>
      <c r="E36" s="394">
        <v>23004</v>
      </c>
      <c r="F36" s="14">
        <f t="shared" si="1"/>
        <v>65.795269284672358</v>
      </c>
      <c r="G36" s="394">
        <v>27181</v>
      </c>
      <c r="H36" s="14">
        <f t="shared" si="2"/>
        <v>77.742184595143442</v>
      </c>
      <c r="I36" s="394">
        <v>23152</v>
      </c>
      <c r="J36" s="14">
        <f t="shared" si="3"/>
        <v>66.218573921002204</v>
      </c>
      <c r="K36" s="394">
        <v>22258</v>
      </c>
      <c r="L36" s="14">
        <f t="shared" si="4"/>
        <v>63.661585104253071</v>
      </c>
      <c r="M36" s="440">
        <v>34821</v>
      </c>
      <c r="N36" s="394">
        <v>28308</v>
      </c>
      <c r="O36" s="14">
        <f t="shared" si="5"/>
        <v>81.295769794089779</v>
      </c>
      <c r="P36" s="413" t="s">
        <v>97</v>
      </c>
    </row>
    <row r="37" spans="1:16" ht="12.95" customHeight="1" x14ac:dyDescent="0.2">
      <c r="A37" s="412" t="s">
        <v>31</v>
      </c>
      <c r="B37" s="440">
        <v>10640</v>
      </c>
      <c r="C37" s="394">
        <v>6189</v>
      </c>
      <c r="D37" s="14">
        <f t="shared" si="0"/>
        <v>58.167293233082709</v>
      </c>
      <c r="E37" s="394">
        <v>5997</v>
      </c>
      <c r="F37" s="14">
        <f t="shared" si="1"/>
        <v>56.362781954887218</v>
      </c>
      <c r="G37" s="394">
        <v>7683</v>
      </c>
      <c r="H37" s="14">
        <f t="shared" si="2"/>
        <v>72.208646616541344</v>
      </c>
      <c r="I37" s="394">
        <v>5702</v>
      </c>
      <c r="J37" s="14">
        <f t="shared" si="3"/>
        <v>53.590225563909776</v>
      </c>
      <c r="K37" s="394">
        <v>5089</v>
      </c>
      <c r="L37" s="14">
        <f t="shared" si="4"/>
        <v>47.828947368421055</v>
      </c>
      <c r="M37" s="440">
        <v>10483</v>
      </c>
      <c r="N37" s="394">
        <v>6332</v>
      </c>
      <c r="O37" s="14">
        <f t="shared" si="5"/>
        <v>60.402556520080132</v>
      </c>
      <c r="P37" s="413" t="s">
        <v>97</v>
      </c>
    </row>
    <row r="38" spans="1:16" ht="12.95" customHeight="1" x14ac:dyDescent="0.2">
      <c r="A38" s="412" t="s">
        <v>32</v>
      </c>
      <c r="B38" s="440">
        <v>11225</v>
      </c>
      <c r="C38" s="394">
        <v>9253</v>
      </c>
      <c r="D38" s="14">
        <f t="shared" si="0"/>
        <v>82.43207126948775</v>
      </c>
      <c r="E38" s="394">
        <v>9152</v>
      </c>
      <c r="F38" s="14">
        <f t="shared" si="1"/>
        <v>81.532293986636972</v>
      </c>
      <c r="G38" s="394">
        <v>10242</v>
      </c>
      <c r="H38" s="14">
        <f t="shared" si="2"/>
        <v>91.242761692650333</v>
      </c>
      <c r="I38" s="394">
        <v>9318</v>
      </c>
      <c r="J38" s="14">
        <f t="shared" si="3"/>
        <v>83.011135857461028</v>
      </c>
      <c r="K38" s="394">
        <v>5590</v>
      </c>
      <c r="L38" s="14">
        <f t="shared" si="4"/>
        <v>49.799554565701563</v>
      </c>
      <c r="M38" s="440">
        <v>11170</v>
      </c>
      <c r="N38" s="394">
        <v>10843</v>
      </c>
      <c r="O38" s="14">
        <f t="shared" si="5"/>
        <v>97.072515666965089</v>
      </c>
      <c r="P38" s="413" t="s">
        <v>97</v>
      </c>
    </row>
    <row r="39" spans="1:16" ht="12.95" customHeight="1" x14ac:dyDescent="0.2">
      <c r="A39" s="412" t="s">
        <v>33</v>
      </c>
      <c r="B39" s="440">
        <v>19497</v>
      </c>
      <c r="C39" s="394">
        <v>14850</v>
      </c>
      <c r="D39" s="14">
        <f t="shared" si="0"/>
        <v>76.165563932912761</v>
      </c>
      <c r="E39" s="394">
        <v>15023</v>
      </c>
      <c r="F39" s="14">
        <f t="shared" si="1"/>
        <v>77.05287993024568</v>
      </c>
      <c r="G39" s="394">
        <v>15461</v>
      </c>
      <c r="H39" s="14">
        <f t="shared" si="2"/>
        <v>79.299379391701279</v>
      </c>
      <c r="I39" s="394">
        <v>15459</v>
      </c>
      <c r="J39" s="14">
        <f t="shared" si="3"/>
        <v>79.28912140329281</v>
      </c>
      <c r="K39" s="394">
        <v>12870</v>
      </c>
      <c r="L39" s="14">
        <f t="shared" si="4"/>
        <v>66.010155408524383</v>
      </c>
      <c r="M39" s="441">
        <v>19388</v>
      </c>
      <c r="N39" s="394">
        <v>15275</v>
      </c>
      <c r="O39" s="14">
        <f t="shared" si="5"/>
        <v>78.78584691561791</v>
      </c>
      <c r="P39" s="413" t="s">
        <v>97</v>
      </c>
    </row>
    <row r="40" spans="1:16" ht="12.95" customHeight="1" x14ac:dyDescent="0.2">
      <c r="A40" s="412" t="s">
        <v>34</v>
      </c>
      <c r="B40" s="440">
        <v>1175</v>
      </c>
      <c r="C40" s="394">
        <v>1128</v>
      </c>
      <c r="D40" s="14">
        <f t="shared" si="0"/>
        <v>96</v>
      </c>
      <c r="E40" s="394">
        <v>1174</v>
      </c>
      <c r="F40" s="14">
        <f t="shared" si="1"/>
        <v>99.914893617021278</v>
      </c>
      <c r="G40" s="394">
        <v>872</v>
      </c>
      <c r="H40" s="14">
        <f t="shared" si="2"/>
        <v>74.21276595744682</v>
      </c>
      <c r="I40" s="394">
        <v>1076</v>
      </c>
      <c r="J40" s="14">
        <f t="shared" si="3"/>
        <v>91.574468085106389</v>
      </c>
      <c r="K40" s="394">
        <v>1093</v>
      </c>
      <c r="L40" s="14">
        <f t="shared" si="4"/>
        <v>93.021276595744681</v>
      </c>
      <c r="M40" s="440">
        <v>1133</v>
      </c>
      <c r="N40" s="394">
        <v>1149</v>
      </c>
      <c r="O40" s="14">
        <f t="shared" si="5"/>
        <v>101.41218005295676</v>
      </c>
      <c r="P40" s="413" t="s">
        <v>97</v>
      </c>
    </row>
    <row r="41" spans="1:16" ht="12.95" customHeight="1" x14ac:dyDescent="0.2">
      <c r="A41" s="412" t="s">
        <v>35</v>
      </c>
      <c r="B41" s="440">
        <v>45952</v>
      </c>
      <c r="C41" s="394">
        <v>32632</v>
      </c>
      <c r="D41" s="14">
        <f t="shared" si="0"/>
        <v>71.013231197771589</v>
      </c>
      <c r="E41" s="394">
        <v>32087</v>
      </c>
      <c r="F41" s="14">
        <f t="shared" si="1"/>
        <v>69.827211002785518</v>
      </c>
      <c r="G41" s="394">
        <v>37377</v>
      </c>
      <c r="H41" s="14">
        <f t="shared" si="2"/>
        <v>81.339223537604454</v>
      </c>
      <c r="I41" s="394">
        <v>31944</v>
      </c>
      <c r="J41" s="14">
        <f t="shared" si="3"/>
        <v>69.516016713091915</v>
      </c>
      <c r="K41" s="394">
        <v>22131</v>
      </c>
      <c r="L41" s="14">
        <f t="shared" si="4"/>
        <v>48.161124651810582</v>
      </c>
      <c r="M41" s="440">
        <v>45310</v>
      </c>
      <c r="N41" s="394">
        <v>36665</v>
      </c>
      <c r="O41" s="14">
        <f t="shared" si="5"/>
        <v>80.920326638711103</v>
      </c>
      <c r="P41" s="413" t="s">
        <v>97</v>
      </c>
    </row>
    <row r="42" spans="1:16" ht="12.95" customHeight="1" x14ac:dyDescent="0.2">
      <c r="A42" s="412" t="s">
        <v>36</v>
      </c>
      <c r="B42" s="440">
        <v>20177</v>
      </c>
      <c r="C42" s="394">
        <v>18019</v>
      </c>
      <c r="D42" s="14">
        <f t="shared" si="0"/>
        <v>89.304653813748331</v>
      </c>
      <c r="E42" s="394">
        <v>15706</v>
      </c>
      <c r="F42" s="14">
        <f t="shared" si="1"/>
        <v>77.841106210041133</v>
      </c>
      <c r="G42" s="394">
        <v>18122</v>
      </c>
      <c r="H42" s="14">
        <f t="shared" si="2"/>
        <v>89.815136045992958</v>
      </c>
      <c r="I42" s="394">
        <v>17064</v>
      </c>
      <c r="J42" s="14">
        <f t="shared" si="3"/>
        <v>84.571541854586911</v>
      </c>
      <c r="K42" s="394">
        <v>9708</v>
      </c>
      <c r="L42" s="14">
        <f t="shared" si="4"/>
        <v>48.114189423601125</v>
      </c>
      <c r="M42" s="440">
        <v>20096</v>
      </c>
      <c r="N42" s="394">
        <v>18315</v>
      </c>
      <c r="O42" s="14">
        <f t="shared" si="5"/>
        <v>91.137539808917197</v>
      </c>
      <c r="P42" s="413" t="s">
        <v>97</v>
      </c>
    </row>
    <row r="43" spans="1:16" ht="12.95" customHeight="1" x14ac:dyDescent="0.2">
      <c r="A43" s="412" t="s">
        <v>37</v>
      </c>
      <c r="B43" s="440">
        <v>28053</v>
      </c>
      <c r="C43" s="394">
        <v>29437</v>
      </c>
      <c r="D43" s="14">
        <f t="shared" si="0"/>
        <v>104.93351869675259</v>
      </c>
      <c r="E43" s="394">
        <v>27379</v>
      </c>
      <c r="F43" s="14">
        <f t="shared" si="1"/>
        <v>97.597404912130614</v>
      </c>
      <c r="G43" s="394">
        <v>27740</v>
      </c>
      <c r="H43" s="14">
        <f t="shared" si="2"/>
        <v>98.884254803407828</v>
      </c>
      <c r="I43" s="394">
        <v>27479</v>
      </c>
      <c r="J43" s="14">
        <f t="shared" si="3"/>
        <v>97.953873026057821</v>
      </c>
      <c r="K43" s="394">
        <v>16214</v>
      </c>
      <c r="L43" s="14">
        <f t="shared" si="4"/>
        <v>57.797739992157702</v>
      </c>
      <c r="M43" s="441">
        <v>28860</v>
      </c>
      <c r="N43" s="394">
        <v>26925</v>
      </c>
      <c r="O43" s="14">
        <f t="shared" si="5"/>
        <v>93.295218295218291</v>
      </c>
      <c r="P43" s="413" t="s">
        <v>97</v>
      </c>
    </row>
    <row r="44" spans="1:16" ht="12.95" customHeight="1" x14ac:dyDescent="0.2">
      <c r="A44" s="412" t="s">
        <v>38</v>
      </c>
      <c r="B44" s="440">
        <v>86639</v>
      </c>
      <c r="C44" s="394">
        <v>88985</v>
      </c>
      <c r="D44" s="14">
        <f t="shared" si="0"/>
        <v>102.70778748600516</v>
      </c>
      <c r="E44" s="394">
        <v>85425</v>
      </c>
      <c r="F44" s="14">
        <f t="shared" si="1"/>
        <v>98.598783457796145</v>
      </c>
      <c r="G44" s="394">
        <v>84880</v>
      </c>
      <c r="H44" s="14">
        <f t="shared" si="2"/>
        <v>97.969736492803477</v>
      </c>
      <c r="I44" s="394">
        <v>78728</v>
      </c>
      <c r="J44" s="14">
        <f t="shared" si="3"/>
        <v>90.869008183381624</v>
      </c>
      <c r="K44" s="394">
        <v>54226</v>
      </c>
      <c r="L44" s="14">
        <f t="shared" si="4"/>
        <v>62.58844169484874</v>
      </c>
      <c r="M44" s="440">
        <v>85368</v>
      </c>
      <c r="N44" s="394">
        <v>90532</v>
      </c>
      <c r="O44" s="14">
        <f t="shared" si="5"/>
        <v>106.04910505107301</v>
      </c>
      <c r="P44" s="413" t="s">
        <v>97</v>
      </c>
    </row>
    <row r="45" spans="1:16" ht="12.95" customHeight="1" x14ac:dyDescent="0.2">
      <c r="A45" s="412" t="s">
        <v>39</v>
      </c>
      <c r="B45" s="440">
        <v>943</v>
      </c>
      <c r="C45" s="394">
        <v>334</v>
      </c>
      <c r="D45" s="14">
        <f t="shared" si="0"/>
        <v>35.418875927889715</v>
      </c>
      <c r="E45" s="394">
        <v>330</v>
      </c>
      <c r="F45" s="14">
        <f t="shared" si="1"/>
        <v>34.994697773064686</v>
      </c>
      <c r="G45" s="394">
        <v>660</v>
      </c>
      <c r="H45" s="14">
        <f t="shared" si="2"/>
        <v>69.989395546129373</v>
      </c>
      <c r="I45" s="394">
        <v>415</v>
      </c>
      <c r="J45" s="14">
        <f t="shared" si="3"/>
        <v>44.008483563096505</v>
      </c>
      <c r="K45" s="394">
        <v>404</v>
      </c>
      <c r="L45" s="14">
        <f t="shared" si="4"/>
        <v>42.841993637327683</v>
      </c>
      <c r="M45" s="440">
        <v>943</v>
      </c>
      <c r="N45" s="394">
        <v>561</v>
      </c>
      <c r="O45" s="14">
        <f t="shared" si="5"/>
        <v>59.490986214209975</v>
      </c>
      <c r="P45" s="413" t="s">
        <v>97</v>
      </c>
    </row>
    <row r="46" spans="1:16" ht="12.95" customHeight="1" thickBot="1" x14ac:dyDescent="0.25">
      <c r="A46" s="454" t="s">
        <v>40</v>
      </c>
      <c r="B46" s="449">
        <v>3029</v>
      </c>
      <c r="C46" s="396">
        <v>854</v>
      </c>
      <c r="D46" s="369">
        <f t="shared" si="0"/>
        <v>28.19412347309343</v>
      </c>
      <c r="E46" s="396">
        <v>854</v>
      </c>
      <c r="F46" s="369">
        <f t="shared" si="1"/>
        <v>28.19412347309343</v>
      </c>
      <c r="G46" s="396">
        <v>1289</v>
      </c>
      <c r="H46" s="369">
        <f t="shared" si="2"/>
        <v>42.555298778474743</v>
      </c>
      <c r="I46" s="396">
        <v>874</v>
      </c>
      <c r="J46" s="369">
        <f t="shared" si="3"/>
        <v>28.854407395179926</v>
      </c>
      <c r="K46" s="396">
        <v>837</v>
      </c>
      <c r="L46" s="369">
        <f t="shared" si="4"/>
        <v>27.632882139319907</v>
      </c>
      <c r="M46" s="449">
        <v>3024</v>
      </c>
      <c r="N46" s="396">
        <v>3025</v>
      </c>
      <c r="O46" s="369">
        <f t="shared" si="5"/>
        <v>100.03306878306879</v>
      </c>
      <c r="P46" s="413" t="s">
        <v>97</v>
      </c>
    </row>
    <row r="47" spans="1:16" ht="13.5" thickBot="1" x14ac:dyDescent="0.25">
      <c r="A47" s="455" t="s">
        <v>41</v>
      </c>
      <c r="B47" s="450">
        <f>SUM(B11:B46)</f>
        <v>968062</v>
      </c>
      <c r="C47" s="424">
        <f>SUM(C11:C46)</f>
        <v>801039</v>
      </c>
      <c r="D47" s="373">
        <f t="shared" si="0"/>
        <v>82.746662920350147</v>
      </c>
      <c r="E47" s="424">
        <f>SUM(E11:E46)</f>
        <v>769386</v>
      </c>
      <c r="F47" s="373">
        <f t="shared" si="1"/>
        <v>79.476934328586395</v>
      </c>
      <c r="G47" s="424">
        <f>SUM(G11:G46)</f>
        <v>839309</v>
      </c>
      <c r="H47" s="373">
        <f t="shared" si="2"/>
        <v>86.699922112426691</v>
      </c>
      <c r="I47" s="424">
        <f>SUM(I11:I46)</f>
        <v>771257</v>
      </c>
      <c r="J47" s="373">
        <f t="shared" si="3"/>
        <v>79.670207073513893</v>
      </c>
      <c r="K47" s="424">
        <f>SUM(K11:K46)</f>
        <v>533086</v>
      </c>
      <c r="L47" s="373">
        <f t="shared" si="4"/>
        <v>55.067340728176504</v>
      </c>
      <c r="M47" s="450">
        <f>SUM(M11:M46)</f>
        <v>957956</v>
      </c>
      <c r="N47" s="450">
        <f>SUM(N11:N46)</f>
        <v>844845</v>
      </c>
      <c r="O47" s="375">
        <f t="shared" si="5"/>
        <v>88.192463954503125</v>
      </c>
      <c r="P47" s="448"/>
    </row>
    <row r="48" spans="1:16" ht="13.5" thickBot="1" x14ac:dyDescent="0.25">
      <c r="A48" s="126" t="s">
        <v>98</v>
      </c>
      <c r="B48" s="444"/>
      <c r="C48" s="444"/>
      <c r="D48" s="312"/>
      <c r="E48" s="444"/>
      <c r="F48" s="312"/>
      <c r="G48" s="444"/>
      <c r="H48" s="312"/>
      <c r="I48" s="444"/>
      <c r="J48" s="312"/>
      <c r="K48" s="444"/>
      <c r="L48" s="312"/>
      <c r="M48" s="444"/>
      <c r="N48" s="444"/>
      <c r="O48" s="312"/>
      <c r="P48" s="154"/>
    </row>
  </sheetData>
  <mergeCells count="6">
    <mergeCell ref="K9:L9"/>
    <mergeCell ref="N9:O9"/>
    <mergeCell ref="C9:D9"/>
    <mergeCell ref="E9:F9"/>
    <mergeCell ref="G9:H9"/>
    <mergeCell ref="I9:J9"/>
  </mergeCells>
  <phoneticPr fontId="11" type="noConversion"/>
  <printOptions horizontalCentered="1"/>
  <pageMargins left="0.23622047244094491" right="0.27559055118110237" top="0.98425196850393704" bottom="0.39370078740157483" header="0.39370078740157483" footer="0"/>
  <pageSetup scale="90" orientation="landscape" horizontalDpi="4294967295" verticalDpi="4294967295" r:id="rId1"/>
  <headerFooter alignWithMargins="0">
    <oddHeader>&amp;L 
              &amp;G&amp;C&amp;"Arial,Negrita"MINISTERIO DE LA PROTECCION SOCIAL
República de Colombia
Dirección General de Salud Pública
Programa Ampliado de Inmunizaciones - PAI</oddHeader>
    <oddFooter>&amp;L       &amp;P&amp;C&amp;F&amp;R&amp;D            .</oddFooter>
  </headerFooter>
  <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6"/>
  </sheetPr>
  <dimension ref="A5:P48"/>
  <sheetViews>
    <sheetView zoomScale="90" zoomScaleNormal="90" workbookViewId="0">
      <pane xSplit="2" ySplit="10" topLeftCell="C11" activePane="bottomRight" state="frozen"/>
      <selection activeCell="A4" sqref="A4"/>
      <selection pane="topRight" activeCell="A4" sqref="A4"/>
      <selection pane="bottomLeft" activeCell="A4" sqref="A4"/>
      <selection pane="bottomRight" activeCell="C11" sqref="C11"/>
    </sheetView>
  </sheetViews>
  <sheetFormatPr baseColWidth="10" defaultRowHeight="12.75" x14ac:dyDescent="0.2"/>
  <cols>
    <col min="1" max="1" width="24.85546875" style="17" customWidth="1"/>
    <col min="2" max="2" width="12.42578125" style="17" bestFit="1" customWidth="1"/>
    <col min="3" max="3" width="11.28515625" style="17" bestFit="1" customWidth="1"/>
    <col min="4" max="4" width="6.85546875" style="17" customWidth="1"/>
    <col min="5" max="5" width="11.28515625" style="17" bestFit="1" customWidth="1"/>
    <col min="6" max="6" width="6.42578125" style="17" customWidth="1"/>
    <col min="7" max="7" width="11.28515625" style="17" bestFit="1" customWidth="1"/>
    <col min="8" max="8" width="7.5703125" style="17" customWidth="1"/>
    <col min="9" max="9" width="11.28515625" style="17" bestFit="1" customWidth="1"/>
    <col min="10" max="10" width="7.42578125" style="17" customWidth="1"/>
    <col min="11" max="11" width="11.28515625" style="17" bestFit="1" customWidth="1"/>
    <col min="12" max="12" width="6.140625" style="17" customWidth="1"/>
    <col min="13" max="13" width="11.85546875" style="17" bestFit="1" customWidth="1"/>
    <col min="14" max="14" width="11.28515625" style="17" bestFit="1" customWidth="1"/>
    <col min="15" max="15" width="6.85546875" style="17" customWidth="1"/>
    <col min="16" max="16" width="8" style="17" bestFit="1" customWidth="1"/>
    <col min="17" max="16384" width="11.42578125" style="17"/>
  </cols>
  <sheetData>
    <row r="5" spans="1:16" x14ac:dyDescent="0.2">
      <c r="A5" s="702" t="s">
        <v>305</v>
      </c>
      <c r="B5" s="753" t="s">
        <v>321</v>
      </c>
    </row>
    <row r="6" spans="1:16" x14ac:dyDescent="0.2">
      <c r="A6" s="702" t="s">
        <v>306</v>
      </c>
      <c r="B6" s="776">
        <v>37633</v>
      </c>
    </row>
    <row r="7" spans="1:16" x14ac:dyDescent="0.2">
      <c r="A7" s="702" t="s">
        <v>307</v>
      </c>
      <c r="B7" s="766" t="s">
        <v>312</v>
      </c>
    </row>
    <row r="8" spans="1:16" ht="19.5" customHeight="1" thickBot="1" x14ac:dyDescent="0.25">
      <c r="A8" s="1863" t="s">
        <v>99</v>
      </c>
      <c r="B8" s="1863"/>
      <c r="C8" s="1863"/>
      <c r="D8" s="1863"/>
      <c r="E8" s="1863"/>
      <c r="F8" s="1863"/>
      <c r="G8" s="1863"/>
      <c r="H8" s="1863"/>
      <c r="I8" s="1863"/>
      <c r="J8" s="1863"/>
      <c r="K8" s="1863"/>
      <c r="L8" s="1863"/>
      <c r="M8" s="1863"/>
      <c r="N8" s="1863"/>
      <c r="O8" s="1863"/>
      <c r="P8" s="1863"/>
    </row>
    <row r="9" spans="1:16" ht="19.5" customHeight="1" thickBot="1" x14ac:dyDescent="0.25">
      <c r="A9" s="31" t="s">
        <v>79</v>
      </c>
      <c r="B9" s="9" t="s">
        <v>53</v>
      </c>
      <c r="C9" s="1864" t="s">
        <v>3</v>
      </c>
      <c r="D9" s="1865"/>
      <c r="E9" s="1864" t="s">
        <v>6</v>
      </c>
      <c r="F9" s="1865"/>
      <c r="G9" s="1864" t="s">
        <v>7</v>
      </c>
      <c r="H9" s="1866"/>
      <c r="I9" s="1867" t="s">
        <v>54</v>
      </c>
      <c r="J9" s="1865"/>
      <c r="K9" s="1864" t="s">
        <v>89</v>
      </c>
      <c r="L9" s="1865"/>
      <c r="M9" s="27" t="s">
        <v>81</v>
      </c>
      <c r="N9" s="1864" t="s">
        <v>90</v>
      </c>
      <c r="O9" s="1865"/>
      <c r="P9" s="30" t="s">
        <v>82</v>
      </c>
    </row>
    <row r="10" spans="1:16" ht="19.5" customHeight="1" thickBot="1" x14ac:dyDescent="0.25">
      <c r="A10" s="432"/>
      <c r="B10" s="33" t="s">
        <v>74</v>
      </c>
      <c r="C10" s="33" t="s">
        <v>83</v>
      </c>
      <c r="D10" s="33" t="s">
        <v>5</v>
      </c>
      <c r="E10" s="33" t="s">
        <v>83</v>
      </c>
      <c r="F10" s="33" t="s">
        <v>5</v>
      </c>
      <c r="G10" s="33" t="s">
        <v>91</v>
      </c>
      <c r="H10" s="33" t="s">
        <v>5</v>
      </c>
      <c r="I10" s="33" t="s">
        <v>83</v>
      </c>
      <c r="J10" s="33" t="s">
        <v>5</v>
      </c>
      <c r="K10" s="34" t="s">
        <v>83</v>
      </c>
      <c r="L10" s="33" t="s">
        <v>5</v>
      </c>
      <c r="M10" s="35" t="s">
        <v>92</v>
      </c>
      <c r="N10" s="34" t="s">
        <v>91</v>
      </c>
      <c r="O10" s="33" t="s">
        <v>5</v>
      </c>
      <c r="P10" s="33" t="s">
        <v>85</v>
      </c>
    </row>
    <row r="11" spans="1:16" ht="14.1" customHeight="1" thickBot="1" x14ac:dyDescent="0.25">
      <c r="A11" s="414" t="s">
        <v>12</v>
      </c>
      <c r="B11" s="460">
        <v>2249</v>
      </c>
      <c r="C11" s="398">
        <v>1194</v>
      </c>
      <c r="D11" s="12">
        <f t="shared" ref="D11:D47" si="0">(C11/B11)*100</f>
        <v>53.090262338817254</v>
      </c>
      <c r="E11" s="463">
        <v>1212</v>
      </c>
      <c r="F11" s="13">
        <f t="shared" ref="F11:F47" si="1">(E11/B11)*100</f>
        <v>53.890618052467765</v>
      </c>
      <c r="G11" s="398">
        <v>1764</v>
      </c>
      <c r="H11" s="12">
        <f t="shared" ref="H11:H44" si="2">(G11/B11)*100</f>
        <v>78.434859937750119</v>
      </c>
      <c r="I11" s="463">
        <v>1366</v>
      </c>
      <c r="J11" s="13">
        <f t="shared" ref="J11:J47" si="3">(I11/B11)*100</f>
        <v>60.738105824811029</v>
      </c>
      <c r="K11" s="398">
        <v>1342</v>
      </c>
      <c r="L11" s="12">
        <f t="shared" ref="L11:L47" si="4">(K11/B11)*100</f>
        <v>59.670964873277008</v>
      </c>
      <c r="M11" s="408">
        <v>2070</v>
      </c>
      <c r="N11" s="398">
        <v>1507</v>
      </c>
      <c r="O11" s="11">
        <f t="shared" ref="O11:O47" si="5">(N11/M11)*100</f>
        <v>72.80193236714976</v>
      </c>
      <c r="P11" s="466" t="s">
        <v>100</v>
      </c>
    </row>
    <row r="12" spans="1:16" ht="14.1" customHeight="1" x14ac:dyDescent="0.2">
      <c r="A12" s="415" t="s">
        <v>11</v>
      </c>
      <c r="B12" s="461">
        <v>119296</v>
      </c>
      <c r="C12" s="400">
        <v>99414</v>
      </c>
      <c r="D12" s="15">
        <f t="shared" si="0"/>
        <v>83.333892167381975</v>
      </c>
      <c r="E12" s="464">
        <v>97747</v>
      </c>
      <c r="F12" s="16">
        <f t="shared" si="1"/>
        <v>81.936527628755357</v>
      </c>
      <c r="G12" s="400">
        <v>103997</v>
      </c>
      <c r="H12" s="15">
        <f t="shared" si="2"/>
        <v>87.175596834763951</v>
      </c>
      <c r="I12" s="464">
        <v>99307</v>
      </c>
      <c r="J12" s="16">
        <f t="shared" si="3"/>
        <v>83.244199302575112</v>
      </c>
      <c r="K12" s="400">
        <v>73076</v>
      </c>
      <c r="L12" s="15">
        <f t="shared" si="4"/>
        <v>61.256035407725321</v>
      </c>
      <c r="M12" s="399">
        <v>117686</v>
      </c>
      <c r="N12" s="400">
        <v>120005</v>
      </c>
      <c r="O12" s="15">
        <f t="shared" si="5"/>
        <v>101.9704977652397</v>
      </c>
      <c r="P12" s="467" t="s">
        <v>100</v>
      </c>
    </row>
    <row r="13" spans="1:16" ht="14.1" customHeight="1" x14ac:dyDescent="0.2">
      <c r="A13" s="415" t="s">
        <v>13</v>
      </c>
      <c r="B13" s="461">
        <v>6684</v>
      </c>
      <c r="C13" s="401">
        <v>5025</v>
      </c>
      <c r="D13" s="15">
        <f t="shared" si="0"/>
        <v>75.179533213644518</v>
      </c>
      <c r="E13" s="464">
        <v>4783</v>
      </c>
      <c r="F13" s="16">
        <f t="shared" si="1"/>
        <v>71.55894673847996</v>
      </c>
      <c r="G13" s="400">
        <v>4640</v>
      </c>
      <c r="H13" s="15">
        <f t="shared" si="2"/>
        <v>69.419509275882703</v>
      </c>
      <c r="I13" s="464">
        <v>4053</v>
      </c>
      <c r="J13" s="16">
        <f t="shared" si="3"/>
        <v>60.637342908438065</v>
      </c>
      <c r="K13" s="400">
        <v>2782</v>
      </c>
      <c r="L13" s="15">
        <f t="shared" si="4"/>
        <v>41.621783363255538</v>
      </c>
      <c r="M13" s="399">
        <v>6087</v>
      </c>
      <c r="N13" s="400">
        <v>4717</v>
      </c>
      <c r="O13" s="15">
        <f t="shared" si="5"/>
        <v>77.493017907014945</v>
      </c>
      <c r="P13" s="77" t="s">
        <v>100</v>
      </c>
    </row>
    <row r="14" spans="1:16" ht="14.1" customHeight="1" x14ac:dyDescent="0.2">
      <c r="A14" s="415" t="s">
        <v>14</v>
      </c>
      <c r="B14" s="461">
        <v>18150</v>
      </c>
      <c r="C14" s="400">
        <v>16919</v>
      </c>
      <c r="D14" s="15">
        <f t="shared" si="0"/>
        <v>93.217630853994493</v>
      </c>
      <c r="E14" s="464">
        <v>16213</v>
      </c>
      <c r="F14" s="16">
        <f t="shared" si="1"/>
        <v>89.327823691460054</v>
      </c>
      <c r="G14" s="400">
        <v>17396</v>
      </c>
      <c r="H14" s="15">
        <f t="shared" si="2"/>
        <v>95.845730027548214</v>
      </c>
      <c r="I14" s="464">
        <v>15758</v>
      </c>
      <c r="J14" s="16">
        <f t="shared" si="3"/>
        <v>86.820936639118457</v>
      </c>
      <c r="K14" s="400">
        <v>12831</v>
      </c>
      <c r="L14" s="15">
        <f t="shared" si="4"/>
        <v>70.694214876033058</v>
      </c>
      <c r="M14" s="399">
        <v>18150</v>
      </c>
      <c r="N14" s="400">
        <v>19381</v>
      </c>
      <c r="O14" s="15">
        <f t="shared" si="5"/>
        <v>106.78236914600552</v>
      </c>
      <c r="P14" s="77" t="s">
        <v>100</v>
      </c>
    </row>
    <row r="15" spans="1:16" ht="14.1" customHeight="1" x14ac:dyDescent="0.2">
      <c r="A15" s="430" t="s">
        <v>115</v>
      </c>
      <c r="B15" s="461">
        <v>29328</v>
      </c>
      <c r="C15" s="400">
        <v>25624</v>
      </c>
      <c r="D15" s="15">
        <f t="shared" si="0"/>
        <v>87.370430987452266</v>
      </c>
      <c r="E15" s="464">
        <v>27594</v>
      </c>
      <c r="F15" s="16">
        <f t="shared" si="1"/>
        <v>94.087561374795413</v>
      </c>
      <c r="G15" s="400">
        <v>34184</v>
      </c>
      <c r="H15" s="15">
        <f t="shared" si="2"/>
        <v>116.55755591925805</v>
      </c>
      <c r="I15" s="464">
        <v>26137</v>
      </c>
      <c r="J15" s="16">
        <f t="shared" si="3"/>
        <v>89.119612656846698</v>
      </c>
      <c r="K15" s="400">
        <v>20606</v>
      </c>
      <c r="L15" s="15">
        <f t="shared" si="4"/>
        <v>70.260501909438076</v>
      </c>
      <c r="M15" s="399">
        <v>29011</v>
      </c>
      <c r="N15" s="400">
        <v>24482</v>
      </c>
      <c r="O15" s="15">
        <f t="shared" si="5"/>
        <v>84.388680155802973</v>
      </c>
      <c r="P15" s="77" t="s">
        <v>100</v>
      </c>
    </row>
    <row r="16" spans="1:16" ht="14.1" customHeight="1" x14ac:dyDescent="0.2">
      <c r="A16" s="415" t="s">
        <v>15</v>
      </c>
      <c r="B16" s="461">
        <v>134757</v>
      </c>
      <c r="C16" s="401">
        <v>104594</v>
      </c>
      <c r="D16" s="15">
        <f t="shared" si="0"/>
        <v>77.61674718196457</v>
      </c>
      <c r="E16" s="464">
        <v>98562</v>
      </c>
      <c r="F16" s="16">
        <f t="shared" si="1"/>
        <v>73.140541864244526</v>
      </c>
      <c r="G16" s="400">
        <v>114306</v>
      </c>
      <c r="H16" s="15">
        <f t="shared" si="2"/>
        <v>84.823793940203473</v>
      </c>
      <c r="I16" s="464">
        <v>99833</v>
      </c>
      <c r="J16" s="16">
        <f t="shared" si="3"/>
        <v>74.083721068293301</v>
      </c>
      <c r="K16" s="400">
        <v>96297</v>
      </c>
      <c r="L16" s="15">
        <f t="shared" si="4"/>
        <v>71.459738640664312</v>
      </c>
      <c r="M16" s="399">
        <v>132363</v>
      </c>
      <c r="N16" s="400">
        <v>115172</v>
      </c>
      <c r="O16" s="15">
        <f t="shared" si="5"/>
        <v>87.012231514849319</v>
      </c>
      <c r="P16" s="77" t="s">
        <v>100</v>
      </c>
    </row>
    <row r="17" spans="1:16" ht="14.1" customHeight="1" x14ac:dyDescent="0.2">
      <c r="A17" s="415" t="s">
        <v>62</v>
      </c>
      <c r="B17" s="461">
        <v>28139</v>
      </c>
      <c r="C17" s="400">
        <v>21932</v>
      </c>
      <c r="D17" s="15">
        <f t="shared" si="0"/>
        <v>77.941646824691716</v>
      </c>
      <c r="E17" s="464">
        <v>19340</v>
      </c>
      <c r="F17" s="16">
        <f t="shared" si="1"/>
        <v>68.730232062262345</v>
      </c>
      <c r="G17" s="400">
        <v>23768</v>
      </c>
      <c r="H17" s="15">
        <f t="shared" si="2"/>
        <v>84.466398948079174</v>
      </c>
      <c r="I17" s="464">
        <v>19470</v>
      </c>
      <c r="J17" s="16">
        <f t="shared" si="3"/>
        <v>69.19222431500765</v>
      </c>
      <c r="K17" s="400">
        <v>20868</v>
      </c>
      <c r="L17" s="15">
        <f t="shared" si="4"/>
        <v>74.160417925299399</v>
      </c>
      <c r="M17" s="399">
        <v>27912</v>
      </c>
      <c r="N17" s="400">
        <v>23336</v>
      </c>
      <c r="O17" s="15">
        <f t="shared" si="5"/>
        <v>83.605617655488672</v>
      </c>
      <c r="P17" s="77" t="s">
        <v>100</v>
      </c>
    </row>
    <row r="18" spans="1:16" ht="14.1" customHeight="1" x14ac:dyDescent="0.2">
      <c r="A18" s="415" t="s">
        <v>45</v>
      </c>
      <c r="B18" s="461">
        <v>23247</v>
      </c>
      <c r="C18" s="400">
        <v>20637</v>
      </c>
      <c r="D18" s="15">
        <f t="shared" si="0"/>
        <v>88.772744870305843</v>
      </c>
      <c r="E18" s="464">
        <v>16347</v>
      </c>
      <c r="F18" s="16">
        <f t="shared" si="1"/>
        <v>70.318750806555684</v>
      </c>
      <c r="G18" s="400">
        <v>20138</v>
      </c>
      <c r="H18" s="15">
        <f t="shared" si="2"/>
        <v>86.626231341678491</v>
      </c>
      <c r="I18" s="464">
        <v>15769</v>
      </c>
      <c r="J18" s="16">
        <f t="shared" si="3"/>
        <v>67.832408482814984</v>
      </c>
      <c r="K18" s="400">
        <v>11500</v>
      </c>
      <c r="L18" s="15">
        <f t="shared" si="4"/>
        <v>49.468748655740526</v>
      </c>
      <c r="M18" s="399">
        <v>19894</v>
      </c>
      <c r="N18" s="400">
        <v>24583</v>
      </c>
      <c r="O18" s="15">
        <f t="shared" si="5"/>
        <v>123.56992057906906</v>
      </c>
      <c r="P18" s="77" t="s">
        <v>100</v>
      </c>
    </row>
    <row r="19" spans="1:16" ht="14.1" customHeight="1" x14ac:dyDescent="0.2">
      <c r="A19" s="415" t="s">
        <v>17</v>
      </c>
      <c r="B19" s="461">
        <v>31905</v>
      </c>
      <c r="C19" s="400">
        <v>24118</v>
      </c>
      <c r="D19" s="15">
        <f t="shared" si="0"/>
        <v>75.593167215170027</v>
      </c>
      <c r="E19" s="464">
        <v>23929</v>
      </c>
      <c r="F19" s="16">
        <f t="shared" si="1"/>
        <v>75.000783576241972</v>
      </c>
      <c r="G19" s="400">
        <v>26308</v>
      </c>
      <c r="H19" s="15">
        <f t="shared" si="2"/>
        <v>82.457295094812721</v>
      </c>
      <c r="I19" s="464">
        <v>22843</v>
      </c>
      <c r="J19" s="16">
        <f t="shared" si="3"/>
        <v>71.596928381131491</v>
      </c>
      <c r="K19" s="400">
        <v>19936</v>
      </c>
      <c r="L19" s="15">
        <f t="shared" si="4"/>
        <v>62.485503839523581</v>
      </c>
      <c r="M19" s="399">
        <v>31616</v>
      </c>
      <c r="N19" s="400">
        <v>23679</v>
      </c>
      <c r="O19" s="15">
        <f t="shared" si="5"/>
        <v>74.895622469635626</v>
      </c>
      <c r="P19" s="77" t="s">
        <v>100</v>
      </c>
    </row>
    <row r="20" spans="1:16" ht="14.1" customHeight="1" x14ac:dyDescent="0.2">
      <c r="A20" s="415" t="s">
        <v>19</v>
      </c>
      <c r="B20" s="461">
        <v>19320</v>
      </c>
      <c r="C20" s="400">
        <v>16117</v>
      </c>
      <c r="D20" s="15">
        <f t="shared" si="0"/>
        <v>83.421325051759837</v>
      </c>
      <c r="E20" s="464">
        <v>16000</v>
      </c>
      <c r="F20" s="16">
        <f t="shared" si="1"/>
        <v>82.815734989648035</v>
      </c>
      <c r="G20" s="400">
        <v>15978</v>
      </c>
      <c r="H20" s="15">
        <f t="shared" si="2"/>
        <v>82.701863354037258</v>
      </c>
      <c r="I20" s="464">
        <v>14838</v>
      </c>
      <c r="J20" s="16">
        <f t="shared" si="3"/>
        <v>76.801242236024848</v>
      </c>
      <c r="K20" s="400">
        <v>15859</v>
      </c>
      <c r="L20" s="15">
        <f t="shared" si="4"/>
        <v>82.085921325051757</v>
      </c>
      <c r="M20" s="399">
        <v>16284</v>
      </c>
      <c r="N20" s="400">
        <v>18374</v>
      </c>
      <c r="O20" s="15">
        <f t="shared" si="5"/>
        <v>112.83468435273889</v>
      </c>
      <c r="P20" s="77" t="s">
        <v>100</v>
      </c>
    </row>
    <row r="21" spans="1:16" ht="14.1" customHeight="1" x14ac:dyDescent="0.2">
      <c r="A21" s="415" t="s">
        <v>63</v>
      </c>
      <c r="B21" s="461">
        <v>10450</v>
      </c>
      <c r="C21" s="401">
        <v>10011</v>
      </c>
      <c r="D21" s="15">
        <f t="shared" si="0"/>
        <v>95.799043062200965</v>
      </c>
      <c r="E21" s="464">
        <v>10465</v>
      </c>
      <c r="F21" s="16">
        <f t="shared" si="1"/>
        <v>100.14354066985646</v>
      </c>
      <c r="G21" s="400">
        <v>9877</v>
      </c>
      <c r="H21" s="15">
        <f t="shared" si="2"/>
        <v>94.516746411483254</v>
      </c>
      <c r="I21" s="464">
        <v>9824</v>
      </c>
      <c r="J21" s="16">
        <f t="shared" si="3"/>
        <v>94.009569377990431</v>
      </c>
      <c r="K21" s="400">
        <v>10242</v>
      </c>
      <c r="L21" s="15">
        <f t="shared" si="4"/>
        <v>98.009569377990431</v>
      </c>
      <c r="M21" s="409">
        <v>11003</v>
      </c>
      <c r="N21" s="400">
        <v>9531</v>
      </c>
      <c r="O21" s="15">
        <f t="shared" si="5"/>
        <v>86.621830409888219</v>
      </c>
      <c r="P21" s="77" t="s">
        <v>100</v>
      </c>
    </row>
    <row r="22" spans="1:16" ht="14.1" customHeight="1" x14ac:dyDescent="0.2">
      <c r="A22" s="415" t="s">
        <v>21</v>
      </c>
      <c r="B22" s="461">
        <v>7452</v>
      </c>
      <c r="C22" s="400">
        <v>5131</v>
      </c>
      <c r="D22" s="15">
        <f t="shared" si="0"/>
        <v>68.853998926462694</v>
      </c>
      <c r="E22" s="464">
        <v>5311</v>
      </c>
      <c r="F22" s="16">
        <f t="shared" si="1"/>
        <v>71.269457863660762</v>
      </c>
      <c r="G22" s="400">
        <v>6206</v>
      </c>
      <c r="H22" s="15">
        <f t="shared" si="2"/>
        <v>83.279656468062271</v>
      </c>
      <c r="I22" s="464">
        <v>5019</v>
      </c>
      <c r="J22" s="16">
        <f t="shared" si="3"/>
        <v>67.351046698872779</v>
      </c>
      <c r="K22" s="400">
        <v>3656</v>
      </c>
      <c r="L22" s="15">
        <f t="shared" si="4"/>
        <v>49.060654857756312</v>
      </c>
      <c r="M22" s="399">
        <v>7427</v>
      </c>
      <c r="N22" s="400">
        <v>6140</v>
      </c>
      <c r="O22" s="15">
        <f t="shared" si="5"/>
        <v>82.671334320721684</v>
      </c>
      <c r="P22" s="77" t="s">
        <v>100</v>
      </c>
    </row>
    <row r="23" spans="1:16" ht="14.1" customHeight="1" x14ac:dyDescent="0.2">
      <c r="A23" s="415" t="s">
        <v>18</v>
      </c>
      <c r="B23" s="461">
        <v>28509</v>
      </c>
      <c r="C23" s="400">
        <v>20280</v>
      </c>
      <c r="D23" s="15">
        <f t="shared" si="0"/>
        <v>71.135430916552664</v>
      </c>
      <c r="E23" s="464">
        <v>19482</v>
      </c>
      <c r="F23" s="16">
        <f t="shared" si="1"/>
        <v>68.336314847942759</v>
      </c>
      <c r="G23" s="400">
        <v>22083</v>
      </c>
      <c r="H23" s="15">
        <f t="shared" si="2"/>
        <v>77.459749552772806</v>
      </c>
      <c r="I23" s="464">
        <v>16564</v>
      </c>
      <c r="J23" s="16">
        <f t="shared" si="3"/>
        <v>58.100950577010771</v>
      </c>
      <c r="K23" s="400">
        <v>12141</v>
      </c>
      <c r="L23" s="15">
        <f t="shared" si="4"/>
        <v>42.586551615279383</v>
      </c>
      <c r="M23" s="399">
        <v>27363</v>
      </c>
      <c r="N23" s="400">
        <v>21890</v>
      </c>
      <c r="O23" s="15">
        <f t="shared" si="5"/>
        <v>79.998538171984066</v>
      </c>
      <c r="P23" s="77" t="s">
        <v>100</v>
      </c>
    </row>
    <row r="24" spans="1:16" ht="14.1" customHeight="1" x14ac:dyDescent="0.2">
      <c r="A24" s="415" t="s">
        <v>22</v>
      </c>
      <c r="B24" s="461">
        <v>26835</v>
      </c>
      <c r="C24" s="400">
        <v>23110</v>
      </c>
      <c r="D24" s="15">
        <f t="shared" si="0"/>
        <v>86.118874604061858</v>
      </c>
      <c r="E24" s="464">
        <v>22126</v>
      </c>
      <c r="F24" s="16">
        <f t="shared" si="1"/>
        <v>82.452021613564369</v>
      </c>
      <c r="G24" s="400">
        <v>21805</v>
      </c>
      <c r="H24" s="15">
        <f t="shared" si="2"/>
        <v>81.255822619713058</v>
      </c>
      <c r="I24" s="464">
        <v>21190</v>
      </c>
      <c r="J24" s="16">
        <f t="shared" si="3"/>
        <v>78.964039500652135</v>
      </c>
      <c r="K24" s="400">
        <v>20095</v>
      </c>
      <c r="L24" s="15">
        <f t="shared" si="4"/>
        <v>74.883547605738769</v>
      </c>
      <c r="M24" s="399">
        <v>22790</v>
      </c>
      <c r="N24" s="400">
        <v>23409</v>
      </c>
      <c r="O24" s="15">
        <f t="shared" si="5"/>
        <v>102.71610355419043</v>
      </c>
      <c r="P24" s="77" t="s">
        <v>100</v>
      </c>
    </row>
    <row r="25" spans="1:16" ht="14.1" customHeight="1" x14ac:dyDescent="0.2">
      <c r="A25" s="415" t="s">
        <v>24</v>
      </c>
      <c r="B25" s="461">
        <v>10991</v>
      </c>
      <c r="C25" s="400">
        <v>8464</v>
      </c>
      <c r="D25" s="15">
        <f t="shared" si="0"/>
        <v>77.008461468474209</v>
      </c>
      <c r="E25" s="464">
        <v>8601</v>
      </c>
      <c r="F25" s="16">
        <f t="shared" si="1"/>
        <v>78.254935856609947</v>
      </c>
      <c r="G25" s="400">
        <v>9723</v>
      </c>
      <c r="H25" s="15">
        <f t="shared" si="2"/>
        <v>88.463288144845791</v>
      </c>
      <c r="I25" s="464">
        <v>7758</v>
      </c>
      <c r="J25" s="16">
        <f t="shared" si="3"/>
        <v>70.58502411063597</v>
      </c>
      <c r="K25" s="400">
        <v>6661</v>
      </c>
      <c r="L25" s="15">
        <f t="shared" si="4"/>
        <v>60.604130652351927</v>
      </c>
      <c r="M25" s="409">
        <v>9884</v>
      </c>
      <c r="N25" s="400">
        <v>8464</v>
      </c>
      <c r="O25" s="15">
        <f t="shared" si="5"/>
        <v>85.633346823148528</v>
      </c>
      <c r="P25" s="77" t="s">
        <v>100</v>
      </c>
    </row>
    <row r="26" spans="1:16" ht="14.1" customHeight="1" x14ac:dyDescent="0.2">
      <c r="A26" s="415" t="s">
        <v>64</v>
      </c>
      <c r="B26" s="461">
        <v>30321</v>
      </c>
      <c r="C26" s="400">
        <v>31690</v>
      </c>
      <c r="D26" s="15">
        <f t="shared" si="0"/>
        <v>104.51502259160317</v>
      </c>
      <c r="E26" s="464">
        <v>28884</v>
      </c>
      <c r="F26" s="16">
        <f t="shared" si="1"/>
        <v>95.260710398733551</v>
      </c>
      <c r="G26" s="400">
        <v>34441</v>
      </c>
      <c r="H26" s="15">
        <f t="shared" si="2"/>
        <v>113.58794235018634</v>
      </c>
      <c r="I26" s="464">
        <v>26690</v>
      </c>
      <c r="J26" s="16">
        <f t="shared" si="3"/>
        <v>88.024801292833359</v>
      </c>
      <c r="K26" s="400">
        <v>25105</v>
      </c>
      <c r="L26" s="15">
        <f t="shared" si="4"/>
        <v>82.797401141123316</v>
      </c>
      <c r="M26" s="399">
        <v>26639</v>
      </c>
      <c r="N26" s="400">
        <v>35426</v>
      </c>
      <c r="O26" s="15">
        <f t="shared" si="5"/>
        <v>132.98547242764366</v>
      </c>
      <c r="P26" s="77" t="s">
        <v>100</v>
      </c>
    </row>
    <row r="27" spans="1:16" ht="14.1" customHeight="1" x14ac:dyDescent="0.2">
      <c r="A27" s="458" t="s">
        <v>122</v>
      </c>
      <c r="B27" s="461">
        <v>41920</v>
      </c>
      <c r="C27" s="400">
        <v>38624</v>
      </c>
      <c r="D27" s="15">
        <f t="shared" si="0"/>
        <v>92.137404580152676</v>
      </c>
      <c r="E27" s="464">
        <v>37912</v>
      </c>
      <c r="F27" s="16">
        <f t="shared" si="1"/>
        <v>90.438931297709928</v>
      </c>
      <c r="G27" s="400">
        <v>36829</v>
      </c>
      <c r="H27" s="15">
        <f t="shared" si="2"/>
        <v>87.855438931297712</v>
      </c>
      <c r="I27" s="464">
        <v>35747</v>
      </c>
      <c r="J27" s="16">
        <f t="shared" si="3"/>
        <v>85.274332061068705</v>
      </c>
      <c r="K27" s="400">
        <v>40012</v>
      </c>
      <c r="L27" s="15">
        <f t="shared" si="4"/>
        <v>95.448473282442748</v>
      </c>
      <c r="M27" s="399">
        <v>41960</v>
      </c>
      <c r="N27" s="400">
        <v>43215</v>
      </c>
      <c r="O27" s="15">
        <f t="shared" si="5"/>
        <v>102.99094375595806</v>
      </c>
      <c r="P27" s="77" t="s">
        <v>100</v>
      </c>
    </row>
    <row r="28" spans="1:16" ht="14.1" customHeight="1" x14ac:dyDescent="0.2">
      <c r="A28" s="415" t="s">
        <v>65</v>
      </c>
      <c r="B28" s="461">
        <v>1268</v>
      </c>
      <c r="C28" s="400">
        <v>635</v>
      </c>
      <c r="D28" s="15">
        <f t="shared" si="0"/>
        <v>50.078864353312305</v>
      </c>
      <c r="E28" s="464">
        <v>619</v>
      </c>
      <c r="F28" s="16">
        <f t="shared" si="1"/>
        <v>48.81703470031546</v>
      </c>
      <c r="G28" s="400">
        <v>669</v>
      </c>
      <c r="H28" s="15">
        <f t="shared" si="2"/>
        <v>52.760252365930604</v>
      </c>
      <c r="I28" s="464">
        <v>549</v>
      </c>
      <c r="J28" s="16">
        <f t="shared" si="3"/>
        <v>43.296529968454259</v>
      </c>
      <c r="K28" s="400">
        <v>314</v>
      </c>
      <c r="L28" s="15">
        <f t="shared" si="4"/>
        <v>24.763406940063089</v>
      </c>
      <c r="M28" s="399">
        <v>1265</v>
      </c>
      <c r="N28" s="400">
        <v>1015</v>
      </c>
      <c r="O28" s="15">
        <f t="shared" si="5"/>
        <v>80.237154150197625</v>
      </c>
      <c r="P28" s="77" t="s">
        <v>100</v>
      </c>
    </row>
    <row r="29" spans="1:16" ht="14.1" customHeight="1" x14ac:dyDescent="0.2">
      <c r="A29" s="415" t="s">
        <v>26</v>
      </c>
      <c r="B29" s="461">
        <v>3500</v>
      </c>
      <c r="C29" s="400">
        <v>2496</v>
      </c>
      <c r="D29" s="15">
        <f t="shared" si="0"/>
        <v>71.314285714285717</v>
      </c>
      <c r="E29" s="464">
        <v>2236</v>
      </c>
      <c r="F29" s="16">
        <f t="shared" si="1"/>
        <v>63.885714285714293</v>
      </c>
      <c r="G29" s="400">
        <v>2370</v>
      </c>
      <c r="H29" s="15">
        <f t="shared" si="2"/>
        <v>67.714285714285722</v>
      </c>
      <c r="I29" s="464">
        <v>2184</v>
      </c>
      <c r="J29" s="16">
        <f t="shared" si="3"/>
        <v>62.4</v>
      </c>
      <c r="K29" s="400">
        <v>2348</v>
      </c>
      <c r="L29" s="15">
        <f t="shared" si="4"/>
        <v>67.085714285714289</v>
      </c>
      <c r="M29" s="409">
        <v>3464</v>
      </c>
      <c r="N29" s="400">
        <v>2562</v>
      </c>
      <c r="O29" s="15">
        <f t="shared" si="5"/>
        <v>73.960739030023092</v>
      </c>
      <c r="P29" s="77" t="s">
        <v>100</v>
      </c>
    </row>
    <row r="30" spans="1:16" ht="14.1" customHeight="1" x14ac:dyDescent="0.2">
      <c r="A30" s="415" t="s">
        <v>27</v>
      </c>
      <c r="B30" s="461">
        <v>27165</v>
      </c>
      <c r="C30" s="400">
        <v>21994</v>
      </c>
      <c r="D30" s="15">
        <f t="shared" si="0"/>
        <v>80.964476348242215</v>
      </c>
      <c r="E30" s="464">
        <v>24176</v>
      </c>
      <c r="F30" s="16">
        <f t="shared" si="1"/>
        <v>88.996870973679364</v>
      </c>
      <c r="G30" s="400">
        <v>23301</v>
      </c>
      <c r="H30" s="15">
        <f t="shared" si="2"/>
        <v>85.775814467145224</v>
      </c>
      <c r="I30" s="464">
        <v>22825</v>
      </c>
      <c r="J30" s="16">
        <f t="shared" si="3"/>
        <v>84.023559727590651</v>
      </c>
      <c r="K30" s="400">
        <v>18102</v>
      </c>
      <c r="L30" s="15">
        <f t="shared" si="4"/>
        <v>66.63721700717835</v>
      </c>
      <c r="M30" s="399">
        <v>24428</v>
      </c>
      <c r="N30" s="400">
        <v>23585</v>
      </c>
      <c r="O30" s="15">
        <f t="shared" si="5"/>
        <v>96.549042082855735</v>
      </c>
      <c r="P30" s="77" t="s">
        <v>100</v>
      </c>
    </row>
    <row r="31" spans="1:16" ht="14.1" customHeight="1" x14ac:dyDescent="0.2">
      <c r="A31" s="431" t="s">
        <v>124</v>
      </c>
      <c r="B31" s="461">
        <v>12614</v>
      </c>
      <c r="C31" s="400">
        <v>11855</v>
      </c>
      <c r="D31" s="15">
        <f t="shared" si="0"/>
        <v>93.982876169335654</v>
      </c>
      <c r="E31" s="464">
        <v>11645</v>
      </c>
      <c r="F31" s="16">
        <f t="shared" si="1"/>
        <v>92.318059299191376</v>
      </c>
      <c r="G31" s="400">
        <v>12928</v>
      </c>
      <c r="H31" s="15">
        <f t="shared" si="2"/>
        <v>102.48929760583478</v>
      </c>
      <c r="I31" s="464">
        <v>11442</v>
      </c>
      <c r="J31" s="16">
        <f t="shared" si="3"/>
        <v>90.708736324718558</v>
      </c>
      <c r="K31" s="400">
        <v>8546</v>
      </c>
      <c r="L31" s="15">
        <f t="shared" si="4"/>
        <v>67.750118915490717</v>
      </c>
      <c r="M31" s="399">
        <v>12566</v>
      </c>
      <c r="N31" s="400">
        <v>14036</v>
      </c>
      <c r="O31" s="15">
        <f t="shared" si="5"/>
        <v>111.69823332802802</v>
      </c>
      <c r="P31" s="77" t="s">
        <v>100</v>
      </c>
    </row>
    <row r="32" spans="1:16" ht="14.1" customHeight="1" x14ac:dyDescent="0.2">
      <c r="A32" s="415" t="s">
        <v>28</v>
      </c>
      <c r="B32" s="461">
        <v>19510</v>
      </c>
      <c r="C32" s="400">
        <v>16644</v>
      </c>
      <c r="D32" s="15">
        <f t="shared" si="0"/>
        <v>85.310097385955913</v>
      </c>
      <c r="E32" s="464">
        <v>16522</v>
      </c>
      <c r="F32" s="16">
        <f t="shared" si="1"/>
        <v>84.684777037416708</v>
      </c>
      <c r="G32" s="400">
        <v>15671</v>
      </c>
      <c r="H32" s="15">
        <f t="shared" si="2"/>
        <v>80.322911327524352</v>
      </c>
      <c r="I32" s="464">
        <v>15870</v>
      </c>
      <c r="J32" s="16">
        <f t="shared" si="3"/>
        <v>81.342901076371092</v>
      </c>
      <c r="K32" s="400">
        <v>15377</v>
      </c>
      <c r="L32" s="15">
        <f t="shared" si="4"/>
        <v>78.815991799077395</v>
      </c>
      <c r="M32" s="399">
        <v>19651</v>
      </c>
      <c r="N32" s="400">
        <v>14927</v>
      </c>
      <c r="O32" s="15">
        <f t="shared" si="5"/>
        <v>75.960510915475041</v>
      </c>
      <c r="P32" s="77" t="s">
        <v>100</v>
      </c>
    </row>
    <row r="33" spans="1:16" ht="14.1" customHeight="1" x14ac:dyDescent="0.2">
      <c r="A33" s="459" t="s">
        <v>127</v>
      </c>
      <c r="B33" s="461">
        <v>8680</v>
      </c>
      <c r="C33" s="400">
        <v>7594</v>
      </c>
      <c r="D33" s="15">
        <f t="shared" si="0"/>
        <v>87.488479262672811</v>
      </c>
      <c r="E33" s="464">
        <v>7369</v>
      </c>
      <c r="F33" s="16">
        <f t="shared" si="1"/>
        <v>84.896313364055302</v>
      </c>
      <c r="G33" s="400">
        <v>8903</v>
      </c>
      <c r="H33" s="15">
        <f t="shared" si="2"/>
        <v>102.56912442396313</v>
      </c>
      <c r="I33" s="464">
        <v>7057</v>
      </c>
      <c r="J33" s="16">
        <f t="shared" si="3"/>
        <v>81.301843317972356</v>
      </c>
      <c r="K33" s="400">
        <v>5986</v>
      </c>
      <c r="L33" s="15">
        <f t="shared" si="4"/>
        <v>68.963133640552996</v>
      </c>
      <c r="M33" s="399">
        <v>8743</v>
      </c>
      <c r="N33" s="400">
        <v>5649</v>
      </c>
      <c r="O33" s="15">
        <f t="shared" si="5"/>
        <v>64.611689351481189</v>
      </c>
      <c r="P33" s="77" t="s">
        <v>100</v>
      </c>
    </row>
    <row r="34" spans="1:16" ht="14.1" customHeight="1" x14ac:dyDescent="0.2">
      <c r="A34" s="415" t="s">
        <v>29</v>
      </c>
      <c r="B34" s="461">
        <v>17480</v>
      </c>
      <c r="C34" s="400">
        <v>12868</v>
      </c>
      <c r="D34" s="15">
        <f t="shared" si="0"/>
        <v>73.615560640732269</v>
      </c>
      <c r="E34" s="464">
        <v>12663</v>
      </c>
      <c r="F34" s="16">
        <f t="shared" si="1"/>
        <v>72.442791762013726</v>
      </c>
      <c r="G34" s="400">
        <v>14481</v>
      </c>
      <c r="H34" s="15">
        <f t="shared" si="2"/>
        <v>82.843249427917627</v>
      </c>
      <c r="I34" s="464">
        <v>12305</v>
      </c>
      <c r="J34" s="16">
        <f t="shared" si="3"/>
        <v>70.39473684210526</v>
      </c>
      <c r="K34" s="400">
        <v>11445</v>
      </c>
      <c r="L34" s="15">
        <f t="shared" si="4"/>
        <v>65.474828375286037</v>
      </c>
      <c r="M34" s="409">
        <v>17437</v>
      </c>
      <c r="N34" s="400">
        <v>13208</v>
      </c>
      <c r="O34" s="15">
        <f t="shared" si="5"/>
        <v>75.746974823650859</v>
      </c>
      <c r="P34" s="77" t="s">
        <v>100</v>
      </c>
    </row>
    <row r="35" spans="1:16" ht="14.1" customHeight="1" x14ac:dyDescent="0.2">
      <c r="A35" s="415" t="s">
        <v>30</v>
      </c>
      <c r="B35" s="461">
        <v>40252</v>
      </c>
      <c r="C35" s="400">
        <v>26128</v>
      </c>
      <c r="D35" s="15">
        <f t="shared" si="0"/>
        <v>64.911060319984102</v>
      </c>
      <c r="E35" s="464">
        <v>25787</v>
      </c>
      <c r="F35" s="16">
        <f t="shared" si="1"/>
        <v>64.063897446089641</v>
      </c>
      <c r="G35" s="400">
        <v>28395</v>
      </c>
      <c r="H35" s="15">
        <f t="shared" si="2"/>
        <v>70.543078604789827</v>
      </c>
      <c r="I35" s="464">
        <v>26323</v>
      </c>
      <c r="J35" s="16">
        <f t="shared" si="3"/>
        <v>65.395508297724334</v>
      </c>
      <c r="K35" s="400">
        <v>23700</v>
      </c>
      <c r="L35" s="15">
        <f t="shared" si="4"/>
        <v>58.879061909967213</v>
      </c>
      <c r="M35" s="399">
        <v>40176</v>
      </c>
      <c r="N35" s="400">
        <v>30364</v>
      </c>
      <c r="O35" s="15">
        <f t="shared" si="5"/>
        <v>75.577459179609718</v>
      </c>
      <c r="P35" s="77" t="s">
        <v>100</v>
      </c>
    </row>
    <row r="36" spans="1:16" ht="14.1" customHeight="1" x14ac:dyDescent="0.2">
      <c r="A36" s="443" t="s">
        <v>125</v>
      </c>
      <c r="B36" s="461">
        <v>30999</v>
      </c>
      <c r="C36" s="400">
        <v>25635</v>
      </c>
      <c r="D36" s="15">
        <f t="shared" si="0"/>
        <v>82.696216006967973</v>
      </c>
      <c r="E36" s="464">
        <v>19924</v>
      </c>
      <c r="F36" s="16">
        <f t="shared" si="1"/>
        <v>64.273041065840829</v>
      </c>
      <c r="G36" s="400">
        <v>26438</v>
      </c>
      <c r="H36" s="15">
        <f t="shared" si="2"/>
        <v>85.286622149101589</v>
      </c>
      <c r="I36" s="464">
        <v>19547</v>
      </c>
      <c r="J36" s="16">
        <f t="shared" si="3"/>
        <v>63.056872802348465</v>
      </c>
      <c r="K36" s="400">
        <v>19140</v>
      </c>
      <c r="L36" s="15">
        <f t="shared" si="4"/>
        <v>61.743927223458819</v>
      </c>
      <c r="M36" s="399">
        <v>29345</v>
      </c>
      <c r="N36" s="400">
        <v>25218</v>
      </c>
      <c r="O36" s="15">
        <f t="shared" si="5"/>
        <v>85.936275345033238</v>
      </c>
      <c r="P36" s="77" t="s">
        <v>100</v>
      </c>
    </row>
    <row r="37" spans="1:16" ht="14.1" customHeight="1" x14ac:dyDescent="0.2">
      <c r="A37" s="415" t="s">
        <v>31</v>
      </c>
      <c r="B37" s="461">
        <v>10499</v>
      </c>
      <c r="C37" s="400">
        <v>7531</v>
      </c>
      <c r="D37" s="15">
        <f t="shared" si="0"/>
        <v>71.730641013429846</v>
      </c>
      <c r="E37" s="464">
        <v>7609</v>
      </c>
      <c r="F37" s="16">
        <f t="shared" si="1"/>
        <v>72.47356891132489</v>
      </c>
      <c r="G37" s="400">
        <v>7889</v>
      </c>
      <c r="H37" s="15">
        <f t="shared" si="2"/>
        <v>75.140489570435278</v>
      </c>
      <c r="I37" s="464">
        <v>6949</v>
      </c>
      <c r="J37" s="16">
        <f t="shared" si="3"/>
        <v>66.187255929136114</v>
      </c>
      <c r="K37" s="400">
        <v>7336</v>
      </c>
      <c r="L37" s="15">
        <f t="shared" si="4"/>
        <v>69.873321268692251</v>
      </c>
      <c r="M37" s="399">
        <v>8265</v>
      </c>
      <c r="N37" s="400">
        <v>7588</v>
      </c>
      <c r="O37" s="15">
        <f t="shared" si="5"/>
        <v>91.808832425892319</v>
      </c>
      <c r="P37" s="77" t="s">
        <v>100</v>
      </c>
    </row>
    <row r="38" spans="1:16" ht="14.1" customHeight="1" x14ac:dyDescent="0.2">
      <c r="A38" s="415" t="s">
        <v>32</v>
      </c>
      <c r="B38" s="461">
        <v>10506</v>
      </c>
      <c r="C38" s="400">
        <v>9029</v>
      </c>
      <c r="D38" s="15">
        <f t="shared" si="0"/>
        <v>85.941366837997336</v>
      </c>
      <c r="E38" s="464">
        <v>9084</v>
      </c>
      <c r="F38" s="16">
        <f t="shared" si="1"/>
        <v>86.464877213021126</v>
      </c>
      <c r="G38" s="400">
        <v>9348</v>
      </c>
      <c r="H38" s="15">
        <f t="shared" si="2"/>
        <v>88.97772701313535</v>
      </c>
      <c r="I38" s="464">
        <v>8855</v>
      </c>
      <c r="J38" s="16">
        <f t="shared" si="3"/>
        <v>84.28517037883114</v>
      </c>
      <c r="K38" s="400">
        <v>8372</v>
      </c>
      <c r="L38" s="15">
        <f t="shared" si="4"/>
        <v>79.687797449076712</v>
      </c>
      <c r="M38" s="399">
        <v>10939</v>
      </c>
      <c r="N38" s="400">
        <v>10188</v>
      </c>
      <c r="O38" s="15">
        <f t="shared" si="5"/>
        <v>93.134655818630591</v>
      </c>
      <c r="P38" s="77" t="s">
        <v>100</v>
      </c>
    </row>
    <row r="39" spans="1:16" ht="14.1" customHeight="1" x14ac:dyDescent="0.2">
      <c r="A39" s="415" t="s">
        <v>33</v>
      </c>
      <c r="B39" s="461">
        <v>15247</v>
      </c>
      <c r="C39" s="400">
        <v>14282</v>
      </c>
      <c r="D39" s="15">
        <f t="shared" si="0"/>
        <v>93.670886075949369</v>
      </c>
      <c r="E39" s="464">
        <v>14733</v>
      </c>
      <c r="F39" s="16">
        <f t="shared" si="1"/>
        <v>96.628845018692203</v>
      </c>
      <c r="G39" s="400">
        <v>14913</v>
      </c>
      <c r="H39" s="15">
        <f t="shared" si="2"/>
        <v>97.809405128877813</v>
      </c>
      <c r="I39" s="464">
        <v>14694</v>
      </c>
      <c r="J39" s="16">
        <f t="shared" si="3"/>
        <v>96.373056994818654</v>
      </c>
      <c r="K39" s="400">
        <v>14096</v>
      </c>
      <c r="L39" s="15">
        <f t="shared" si="4"/>
        <v>92.450973962090899</v>
      </c>
      <c r="M39" s="409">
        <v>18402</v>
      </c>
      <c r="N39" s="400">
        <v>18036</v>
      </c>
      <c r="O39" s="15">
        <f t="shared" si="5"/>
        <v>98.011085751548748</v>
      </c>
      <c r="P39" s="77" t="s">
        <v>100</v>
      </c>
    </row>
    <row r="40" spans="1:16" ht="14.1" customHeight="1" x14ac:dyDescent="0.2">
      <c r="A40" s="415" t="s">
        <v>34</v>
      </c>
      <c r="B40" s="461">
        <v>1068</v>
      </c>
      <c r="C40" s="400">
        <v>1072</v>
      </c>
      <c r="D40" s="15">
        <f t="shared" si="0"/>
        <v>100.374531835206</v>
      </c>
      <c r="E40" s="464">
        <v>1164</v>
      </c>
      <c r="F40" s="16">
        <f t="shared" si="1"/>
        <v>108.98876404494382</v>
      </c>
      <c r="G40" s="400">
        <v>951</v>
      </c>
      <c r="H40" s="15">
        <f t="shared" si="2"/>
        <v>89.044943820224717</v>
      </c>
      <c r="I40" s="464">
        <v>1138</v>
      </c>
      <c r="J40" s="16">
        <f t="shared" si="3"/>
        <v>106.55430711610488</v>
      </c>
      <c r="K40" s="400">
        <v>1161</v>
      </c>
      <c r="L40" s="15">
        <f t="shared" si="4"/>
        <v>108.70786516853931</v>
      </c>
      <c r="M40" s="399">
        <v>949</v>
      </c>
      <c r="N40" s="400">
        <v>1084</v>
      </c>
      <c r="O40" s="15">
        <f t="shared" si="5"/>
        <v>114.22550052687039</v>
      </c>
      <c r="P40" s="77" t="s">
        <v>100</v>
      </c>
    </row>
    <row r="41" spans="1:16" ht="14.1" customHeight="1" x14ac:dyDescent="0.2">
      <c r="A41" s="415" t="s">
        <v>35</v>
      </c>
      <c r="B41" s="461">
        <v>45948</v>
      </c>
      <c r="C41" s="400">
        <v>34199</v>
      </c>
      <c r="D41" s="15">
        <f t="shared" si="0"/>
        <v>74.429790197614693</v>
      </c>
      <c r="E41" s="464">
        <v>32636</v>
      </c>
      <c r="F41" s="16">
        <f t="shared" si="1"/>
        <v>71.028118742926779</v>
      </c>
      <c r="G41" s="400">
        <v>36357</v>
      </c>
      <c r="H41" s="15">
        <f t="shared" si="2"/>
        <v>79.126403760773044</v>
      </c>
      <c r="I41" s="464">
        <v>32888</v>
      </c>
      <c r="J41" s="16">
        <f t="shared" si="3"/>
        <v>71.576564812396626</v>
      </c>
      <c r="K41" s="400">
        <v>20847</v>
      </c>
      <c r="L41" s="15">
        <f t="shared" si="4"/>
        <v>45.370854008879604</v>
      </c>
      <c r="M41" s="399">
        <v>45302</v>
      </c>
      <c r="N41" s="400">
        <v>37003</v>
      </c>
      <c r="O41" s="15">
        <f t="shared" si="5"/>
        <v>81.68072049799126</v>
      </c>
      <c r="P41" s="77" t="s">
        <v>100</v>
      </c>
    </row>
    <row r="42" spans="1:16" ht="14.1" customHeight="1" x14ac:dyDescent="0.2">
      <c r="A42" s="415" t="s">
        <v>36</v>
      </c>
      <c r="B42" s="461">
        <v>20196</v>
      </c>
      <c r="C42" s="400">
        <v>17492</v>
      </c>
      <c r="D42" s="15">
        <f t="shared" si="0"/>
        <v>86.611210140621907</v>
      </c>
      <c r="E42" s="464">
        <v>18943</v>
      </c>
      <c r="F42" s="16">
        <f t="shared" si="1"/>
        <v>93.795801148742328</v>
      </c>
      <c r="G42" s="400">
        <v>17905</v>
      </c>
      <c r="H42" s="15">
        <f t="shared" si="2"/>
        <v>88.656169538522477</v>
      </c>
      <c r="I42" s="464">
        <v>18460</v>
      </c>
      <c r="J42" s="16">
        <f t="shared" si="3"/>
        <v>91.404238463061986</v>
      </c>
      <c r="K42" s="400">
        <v>16026</v>
      </c>
      <c r="L42" s="15">
        <f t="shared" si="4"/>
        <v>79.352346999405825</v>
      </c>
      <c r="M42" s="399">
        <v>20117</v>
      </c>
      <c r="N42" s="400">
        <v>17076</v>
      </c>
      <c r="O42" s="15">
        <f t="shared" si="5"/>
        <v>84.883431923248992</v>
      </c>
      <c r="P42" s="77" t="s">
        <v>100</v>
      </c>
    </row>
    <row r="43" spans="1:16" ht="14.1" customHeight="1" x14ac:dyDescent="0.2">
      <c r="A43" s="415" t="s">
        <v>37</v>
      </c>
      <c r="B43" s="461">
        <v>26631</v>
      </c>
      <c r="C43" s="400">
        <v>27527</v>
      </c>
      <c r="D43" s="15">
        <f t="shared" si="0"/>
        <v>103.3645000187751</v>
      </c>
      <c r="E43" s="464">
        <v>27111</v>
      </c>
      <c r="F43" s="16">
        <f t="shared" si="1"/>
        <v>101.80241072434382</v>
      </c>
      <c r="G43" s="400">
        <v>27056</v>
      </c>
      <c r="H43" s="15">
        <f t="shared" si="2"/>
        <v>101.59588449551276</v>
      </c>
      <c r="I43" s="464">
        <v>26180</v>
      </c>
      <c r="J43" s="16">
        <f t="shared" si="3"/>
        <v>98.306484923585288</v>
      </c>
      <c r="K43" s="400">
        <v>17917</v>
      </c>
      <c r="L43" s="15">
        <f t="shared" si="4"/>
        <v>67.278735308475092</v>
      </c>
      <c r="M43" s="409">
        <v>26391</v>
      </c>
      <c r="N43" s="400">
        <v>27392</v>
      </c>
      <c r="O43" s="15">
        <f t="shared" si="5"/>
        <v>103.79295972111704</v>
      </c>
      <c r="P43" s="77" t="s">
        <v>100</v>
      </c>
    </row>
    <row r="44" spans="1:16" ht="14.1" customHeight="1" x14ac:dyDescent="0.2">
      <c r="A44" s="415" t="s">
        <v>38</v>
      </c>
      <c r="B44" s="461">
        <v>86431</v>
      </c>
      <c r="C44" s="400">
        <v>75666</v>
      </c>
      <c r="D44" s="15">
        <f t="shared" si="0"/>
        <v>87.544978074996237</v>
      </c>
      <c r="E44" s="464">
        <v>76726</v>
      </c>
      <c r="F44" s="16">
        <f t="shared" si="1"/>
        <v>88.771389894829397</v>
      </c>
      <c r="G44" s="400">
        <v>75388</v>
      </c>
      <c r="H44" s="15">
        <f t="shared" si="2"/>
        <v>87.223334220360755</v>
      </c>
      <c r="I44" s="464">
        <v>72576</v>
      </c>
      <c r="J44" s="16">
        <f t="shared" si="3"/>
        <v>83.96987192095429</v>
      </c>
      <c r="K44" s="400">
        <v>69592</v>
      </c>
      <c r="L44" s="15">
        <f t="shared" si="4"/>
        <v>80.517406948895655</v>
      </c>
      <c r="M44" s="399">
        <v>85162</v>
      </c>
      <c r="N44" s="400">
        <v>87144</v>
      </c>
      <c r="O44" s="15">
        <f t="shared" si="5"/>
        <v>102.32732909043941</v>
      </c>
      <c r="P44" s="77" t="s">
        <v>100</v>
      </c>
    </row>
    <row r="45" spans="1:16" ht="14.1" customHeight="1" x14ac:dyDescent="0.2">
      <c r="A45" s="415" t="s">
        <v>39</v>
      </c>
      <c r="B45" s="461">
        <v>940</v>
      </c>
      <c r="C45" s="400">
        <v>622</v>
      </c>
      <c r="D45" s="15">
        <f t="shared" si="0"/>
        <v>66.170212765957444</v>
      </c>
      <c r="E45" s="464">
        <v>532</v>
      </c>
      <c r="F45" s="16">
        <f t="shared" si="1"/>
        <v>56.59574468085107</v>
      </c>
      <c r="G45" s="400">
        <v>785</v>
      </c>
      <c r="H45" s="15">
        <v>39</v>
      </c>
      <c r="I45" s="464">
        <v>530</v>
      </c>
      <c r="J45" s="16">
        <f t="shared" si="3"/>
        <v>56.38297872340425</v>
      </c>
      <c r="K45" s="400">
        <v>444</v>
      </c>
      <c r="L45" s="15">
        <f t="shared" si="4"/>
        <v>47.234042553191493</v>
      </c>
      <c r="M45" s="399">
        <v>940</v>
      </c>
      <c r="N45" s="400">
        <v>729</v>
      </c>
      <c r="O45" s="15">
        <f t="shared" si="5"/>
        <v>77.553191489361708</v>
      </c>
      <c r="P45" s="77" t="s">
        <v>100</v>
      </c>
    </row>
    <row r="46" spans="1:16" ht="14.1" customHeight="1" thickBot="1" x14ac:dyDescent="0.25">
      <c r="A46" s="456" t="s">
        <v>40</v>
      </c>
      <c r="B46" s="462">
        <v>1361</v>
      </c>
      <c r="C46" s="435">
        <v>911</v>
      </c>
      <c r="D46" s="74">
        <f t="shared" si="0"/>
        <v>66.936076414401185</v>
      </c>
      <c r="E46" s="465">
        <v>985</v>
      </c>
      <c r="F46" s="73">
        <f t="shared" si="1"/>
        <v>72.373254959588536</v>
      </c>
      <c r="G46" s="435">
        <v>1088</v>
      </c>
      <c r="H46" s="74">
        <f>(G46/B46)*100</f>
        <v>79.941219691403376</v>
      </c>
      <c r="I46" s="465">
        <v>963</v>
      </c>
      <c r="J46" s="73">
        <f t="shared" si="3"/>
        <v>70.756796473181481</v>
      </c>
      <c r="K46" s="435">
        <v>929</v>
      </c>
      <c r="L46" s="74">
        <f t="shared" si="4"/>
        <v>68.258633357825133</v>
      </c>
      <c r="M46" s="423">
        <v>1365</v>
      </c>
      <c r="N46" s="435">
        <v>1121</v>
      </c>
      <c r="O46" s="74">
        <f t="shared" si="5"/>
        <v>82.124542124542117</v>
      </c>
      <c r="P46" s="468" t="s">
        <v>100</v>
      </c>
    </row>
    <row r="47" spans="1:16" ht="13.5" thickBot="1" x14ac:dyDescent="0.25">
      <c r="A47" s="457" t="s">
        <v>41</v>
      </c>
      <c r="B47" s="436">
        <f>SUM(B11:B46)</f>
        <v>949848</v>
      </c>
      <c r="C47" s="436">
        <f>SUM(C11:C46)</f>
        <v>787064</v>
      </c>
      <c r="D47" s="78">
        <f t="shared" si="0"/>
        <v>82.862100041269755</v>
      </c>
      <c r="E47" s="436">
        <f>SUM(E11:E46)</f>
        <v>764972</v>
      </c>
      <c r="F47" s="78">
        <f t="shared" si="1"/>
        <v>80.536254221728115</v>
      </c>
      <c r="G47" s="436">
        <f>SUM(G11:G46)</f>
        <v>828279</v>
      </c>
      <c r="H47" s="78">
        <f>(G47/B47)*100</f>
        <v>87.201215352351113</v>
      </c>
      <c r="I47" s="436">
        <f>SUM(I11:I46)</f>
        <v>743501</v>
      </c>
      <c r="J47" s="78">
        <f t="shared" si="3"/>
        <v>78.275787283860154</v>
      </c>
      <c r="K47" s="436">
        <f>SUM(K11:K46)</f>
        <v>654687</v>
      </c>
      <c r="L47" s="78">
        <f t="shared" si="4"/>
        <v>68.925449124491507</v>
      </c>
      <c r="M47" s="436">
        <f>SUM(M11:M46)</f>
        <v>923046</v>
      </c>
      <c r="N47" s="436">
        <f>SUM(N11:N46)</f>
        <v>861236</v>
      </c>
      <c r="O47" s="78">
        <f t="shared" si="5"/>
        <v>93.303692340360072</v>
      </c>
      <c r="P47" s="433"/>
    </row>
    <row r="48" spans="1:16" ht="13.5" thickBot="1" x14ac:dyDescent="0.25">
      <c r="A48" s="36" t="s">
        <v>101</v>
      </c>
      <c r="B48" s="82"/>
      <c r="C48" s="86">
        <f ca="1">NOW()</f>
        <v>43938.790609606483</v>
      </c>
      <c r="D48" s="38"/>
      <c r="E48" s="82"/>
      <c r="F48" s="83"/>
      <c r="G48" s="82"/>
      <c r="H48" s="83"/>
      <c r="I48" s="82"/>
      <c r="J48" s="83"/>
      <c r="K48" s="82"/>
      <c r="L48" s="83"/>
      <c r="M48" s="82"/>
      <c r="N48" s="82"/>
      <c r="O48" s="83"/>
      <c r="P48" s="84"/>
    </row>
  </sheetData>
  <mergeCells count="7">
    <mergeCell ref="A8:P8"/>
    <mergeCell ref="C9:D9"/>
    <mergeCell ref="E9:F9"/>
    <mergeCell ref="G9:H9"/>
    <mergeCell ref="I9:J9"/>
    <mergeCell ref="K9:L9"/>
    <mergeCell ref="N9:O9"/>
  </mergeCells>
  <phoneticPr fontId="11" type="noConversion"/>
  <printOptions horizontalCentered="1" verticalCentered="1"/>
  <pageMargins left="0.39370078740157483" right="0.27559055118110237" top="0.98425196850393704" bottom="0.39370078740157483" header="0.39370078740157483" footer="0"/>
  <pageSetup scale="85" orientation="landscape" horizontalDpi="4294967295" verticalDpi="4294967295" r:id="rId1"/>
  <headerFooter alignWithMargins="0">
    <oddHeader>&amp;L     &amp;G&amp;C&amp;"Arial,Negrita"MINISTERIO DE LA PROTECCION SOCIAL
República de Colombia
Dirección General de Salud Pública
Programa Ampliado de Inmunizaciones - PAI</oddHeader>
    <oddFooter>&amp;L         &amp;P&amp;C&amp;F&amp;R&amp;D         .</oddFooter>
  </headerFooter>
  <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LongProperties xmlns="http://schemas.microsoft.com/office/2006/metadata/longProperties"/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ABF0FCF354D744B9D0164B4B8106CEE" ma:contentTypeVersion="4" ma:contentTypeDescription="Crear nuevo documento." ma:contentTypeScope="" ma:versionID="94c3e4d14d260ca237f8e492db101d3f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f50dab7f58e823f96f7557b20ba883b6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6" nillable="true" ma:displayName="Fecha de inicio programada" ma:description="" ma:hidden="true" ma:internalName="PublishingStartDate">
      <xsd:simpleType>
        <xsd:restriction base="dms:Unknown"/>
      </xsd:simpleType>
    </xsd:element>
    <xsd:element name="PublishingExpirationDate" ma:index="7" nillable="true" ma:displayName="Fecha de finalización programada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8" ma:displayName="Tipo de contenido"/>
        <xsd:element ref="dc:title" minOccurs="0" maxOccurs="1" ma:index="0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A0BC496-20E6-4CBB-AF46-9E15DA82187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7758DD8-2A33-4159-86BB-58E6160321E6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93447D63-4A4F-4A30-94E0-44CD64A3DC9A}">
  <ds:schemaRefs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www.w3.org/XML/1998/namespace"/>
    <ds:schemaRef ds:uri="http://schemas.microsoft.com/sharepoint/v3"/>
    <ds:schemaRef ds:uri="http://purl.org/dc/dcmitype/"/>
    <ds:schemaRef ds:uri="http://schemas.openxmlformats.org/package/2006/metadata/core-properties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EF807C50-CDE4-43FD-A587-C510A2E03D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26</vt:i4>
      </vt:variant>
      <vt:variant>
        <vt:lpstr>Rangos con nombre</vt:lpstr>
      </vt:variant>
      <vt:variant>
        <vt:i4>16</vt:i4>
      </vt:variant>
    </vt:vector>
  </HeadingPairs>
  <TitlesOfParts>
    <vt:vector size="42" baseType="lpstr">
      <vt:lpstr>1994</vt:lpstr>
      <vt:lpstr>1995</vt:lpstr>
      <vt:lpstr>1996</vt:lpstr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'2009'!Área_de_impresión</vt:lpstr>
      <vt:lpstr>'2015'!Área_de_impresión</vt:lpstr>
      <vt:lpstr>'2016'!Área_de_impresión</vt:lpstr>
      <vt:lpstr>'2017'!Área_de_impresión</vt:lpstr>
      <vt:lpstr>'2018'!Área_de_impresión</vt:lpstr>
      <vt:lpstr>'2019'!Área_de_impresión</vt:lpstr>
      <vt:lpstr>'2010'!Títulos_a_imprimir</vt:lpstr>
      <vt:lpstr>'2011'!Títulos_a_imprimir</vt:lpstr>
      <vt:lpstr>'2012'!Títulos_a_imprimir</vt:lpstr>
      <vt:lpstr>'2013'!Títulos_a_imprimir</vt:lpstr>
      <vt:lpstr>'2014'!Títulos_a_imprimir</vt:lpstr>
      <vt:lpstr>'2015'!Títulos_a_imprimir</vt:lpstr>
      <vt:lpstr>'2016'!Títulos_a_imprimir</vt:lpstr>
      <vt:lpstr>'2017'!Títulos_a_imprimir</vt:lpstr>
      <vt:lpstr>'2018'!Títulos_a_imprimir</vt:lpstr>
      <vt:lpstr>'2019'!Títulos_a_imprimir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COBERTURAS DE VACUNACIÓN DEPARTAMENTAL DESDE 1994-2010</dc:title>
  <dc:creator>CAMILO</dc:creator>
  <cp:lastModifiedBy>Moreno´s</cp:lastModifiedBy>
  <cp:lastPrinted>2014-11-27T21:06:51Z</cp:lastPrinted>
  <dcterms:created xsi:type="dcterms:W3CDTF">2007-09-04T23:31:20Z</dcterms:created>
  <dcterms:modified xsi:type="dcterms:W3CDTF">2020-04-18T00:00:02Z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ubtema">
    <vt:lpwstr>Programa PAI</vt:lpwstr>
  </property>
  <property fmtid="{D5CDD505-2E9C-101B-9397-08002B2CF9AE}" pid="3" name="ContentType">
    <vt:lpwstr>Documento</vt:lpwstr>
  </property>
  <property fmtid="{D5CDD505-2E9C-101B-9397-08002B2CF9AE}" pid="4" name="Temática">
    <vt:lpwstr>Salud</vt:lpwstr>
  </property>
  <property fmtid="{D5CDD505-2E9C-101B-9397-08002B2CF9AE}" pid="5" name="Fecha del Documento">
    <vt:lpwstr>2010-06-24T00:00:00Z</vt:lpwstr>
  </property>
  <property fmtid="{D5CDD505-2E9C-101B-9397-08002B2CF9AE}" pid="6" name="Order">
    <vt:lpwstr>83000.0000000000</vt:lpwstr>
  </property>
</Properties>
</file>